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L:\01_VZ\01_Administrace\07_2025\753_TENDER_P12_MS_Srdicko\01_ZD\ZD_k_vydani\"/>
    </mc:Choice>
  </mc:AlternateContent>
  <xr:revisionPtr revIDLastSave="0" documentId="8_{16ADAE41-7CFC-4885-B015-3311A3292964}" xr6:coauthVersionLast="47" xr6:coauthVersionMax="47" xr10:uidLastSave="{00000000-0000-0000-0000-000000000000}"/>
  <workbookProtection workbookAlgorithmName="SHA-512" workbookHashValue="Y3+KfA7Sg0hYz5FJyLl0aHaavZ7bDdykf0+ApvBjIWPIaBikc7a356wyJo2c+KYmI1KerAyBdrRJi1KLBUOwGw==" workbookSaltValue="aXJ6OH1hsGCR3Rxt+ketLQ==" workbookSpinCount="100000" lockStructure="1"/>
  <bookViews>
    <workbookView xWindow="2304" yWindow="2304" windowWidth="17280" windowHeight="10476" activeTab="2" xr2:uid="{00000000-000D-0000-FFFF-FFFF00000000}"/>
  </bookViews>
  <sheets>
    <sheet name="Rekapitulace stavby" sheetId="1" r:id="rId1"/>
    <sheet name="obj. A - plášť" sheetId="2" r:id="rId2"/>
    <sheet name="obj. B - střecha" sheetId="3" r:id="rId3"/>
    <sheet name="obj. C -VZT " sheetId="4" r:id="rId4"/>
    <sheet name="obj. D - stínění" sheetId="5" r:id="rId5"/>
  </sheets>
  <definedNames>
    <definedName name="_xlnm.Print_Titles" localSheetId="1">'obj. A - plášť'!$130:$130</definedName>
    <definedName name="_xlnm.Print_Titles" localSheetId="2">'obj. B - střecha'!$124:$124</definedName>
    <definedName name="_xlnm.Print_Titles" localSheetId="3">'obj. C -VZT '!$121:$121</definedName>
    <definedName name="_xlnm.Print_Titles" localSheetId="4">'obj. D - stínění'!$110:$110</definedName>
    <definedName name="_xlnm.Print_Titles" localSheetId="0">'Rekapitulace stavby'!$85:$85</definedName>
    <definedName name="_xlnm.Print_Area" localSheetId="1">'obj. A - plášť'!$C$4:$Q$70,'obj. A - plášť'!$C$76:$Q$114,'obj. A - plášť'!$C$120:$Q$269</definedName>
    <definedName name="_xlnm.Print_Area" localSheetId="2">'obj. B - střecha'!$C$4:$Q$70,'obj. B - střecha'!$C$76:$Q$108,'obj. B - střecha'!$C$114:$Q$213</definedName>
    <definedName name="_xlnm.Print_Area" localSheetId="3">'obj. C -VZT '!$C$4:$Q$70,'obj. C -VZT '!$C$76:$Q$105,'obj. C -VZT '!$C$111:$Q$179</definedName>
    <definedName name="_xlnm.Print_Area" localSheetId="4">'obj. D - stínění'!$C$4:$Q$69,'obj. D - stínění'!$C$75:$Q$94,'obj. D - stínění'!$C$100:$Q$142</definedName>
    <definedName name="_xlnm.Print_Area" localSheetId="0">'Rekapitulace stavby'!$C$4:$AP$70,'Rekapitulace stavby'!$C$76:$AP$95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N120" i="5" l="1"/>
  <c r="BK120" i="5"/>
  <c r="BI120" i="5"/>
  <c r="BH120" i="5"/>
  <c r="BG120" i="5"/>
  <c r="BF120" i="5"/>
  <c r="AA120" i="5"/>
  <c r="Y120" i="5"/>
  <c r="W120" i="5"/>
  <c r="N120" i="5"/>
  <c r="BM120" i="5" s="1"/>
  <c r="K119" i="5"/>
  <c r="BN117" i="5"/>
  <c r="BI117" i="5"/>
  <c r="BH117" i="5"/>
  <c r="BG117" i="5"/>
  <c r="BF117" i="5"/>
  <c r="BE120" i="5" l="1"/>
  <c r="N160" i="4" l="1"/>
  <c r="N159" i="4"/>
  <c r="AA119" i="5"/>
  <c r="BN119" i="5"/>
  <c r="BI119" i="5"/>
  <c r="BH119" i="5"/>
  <c r="BG119" i="5"/>
  <c r="BF119" i="5"/>
  <c r="K118" i="5"/>
  <c r="BK119" i="5" l="1"/>
  <c r="N119" i="5"/>
  <c r="BE119" i="5" s="1"/>
  <c r="Y119" i="5"/>
  <c r="W119" i="5"/>
  <c r="BM119" i="5" l="1"/>
  <c r="N156" i="4"/>
  <c r="K155" i="4"/>
  <c r="N155" i="4" s="1"/>
  <c r="N121" i="5"/>
  <c r="BN118" i="5"/>
  <c r="BI118" i="5"/>
  <c r="BH118" i="5"/>
  <c r="BG118" i="5"/>
  <c r="BF118" i="5"/>
  <c r="BK118" i="5"/>
  <c r="N165" i="4"/>
  <c r="K180" i="3"/>
  <c r="N180" i="3" s="1"/>
  <c r="N195" i="3"/>
  <c r="N194" i="3"/>
  <c r="N118" i="5" l="1"/>
  <c r="BM118" i="5" s="1"/>
  <c r="AA118" i="5"/>
  <c r="W118" i="5"/>
  <c r="Y118" i="5"/>
  <c r="BE118" i="5" l="1"/>
  <c r="K193" i="2" l="1"/>
  <c r="BP193" i="2" s="1"/>
  <c r="BN193" i="2"/>
  <c r="BM193" i="2"/>
  <c r="BL193" i="2"/>
  <c r="BK193" i="2"/>
  <c r="BJ193" i="2"/>
  <c r="N193" i="2" l="1"/>
  <c r="K124" i="5"/>
  <c r="C130" i="4"/>
  <c r="C131" i="4" s="1"/>
  <c r="C133" i="4" s="1"/>
  <c r="C134" i="4" s="1"/>
  <c r="C135" i="4" s="1"/>
  <c r="C136" i="4" s="1"/>
  <c r="C137" i="4" s="1"/>
  <c r="C139" i="4" s="1"/>
  <c r="C142" i="4" s="1"/>
  <c r="C143" i="4" s="1"/>
  <c r="C144" i="4" s="1"/>
  <c r="C146" i="4" s="1"/>
  <c r="C147" i="4" s="1"/>
  <c r="C148" i="4" s="1"/>
  <c r="C151" i="4" s="1"/>
  <c r="C152" i="4" s="1"/>
  <c r="C153" i="4" s="1"/>
  <c r="C154" i="4" s="1"/>
  <c r="C138" i="3"/>
  <c r="C139" i="3" s="1"/>
  <c r="C140" i="3" s="1"/>
  <c r="C141" i="3" s="1"/>
  <c r="C142" i="3" s="1"/>
  <c r="C143" i="3" s="1"/>
  <c r="C145" i="3" s="1"/>
  <c r="C148" i="3" s="1"/>
  <c r="C149" i="3" s="1"/>
  <c r="C150" i="3" s="1"/>
  <c r="C151" i="3" s="1"/>
  <c r="C152" i="3" s="1"/>
  <c r="C153" i="3" s="1"/>
  <c r="C154" i="3" s="1"/>
  <c r="C155" i="3" s="1"/>
  <c r="C156" i="3" s="1"/>
  <c r="C158" i="3" s="1"/>
  <c r="C210" i="2"/>
  <c r="C212" i="2" s="1"/>
  <c r="C135" i="2"/>
  <c r="C136" i="2" s="1"/>
  <c r="C137" i="2" s="1"/>
  <c r="C138" i="2" s="1"/>
  <c r="C139" i="2" s="1"/>
  <c r="C141" i="2" s="1"/>
  <c r="C143" i="2" s="1"/>
  <c r="C144" i="2" s="1"/>
  <c r="C145" i="2" s="1"/>
  <c r="C146" i="2" s="1"/>
  <c r="C148" i="2" s="1"/>
  <c r="C150" i="2" s="1"/>
  <c r="C151" i="2" s="1"/>
  <c r="C152" i="2" s="1"/>
  <c r="C153" i="2" s="1"/>
  <c r="C154" i="2" s="1"/>
  <c r="C155" i="2" s="1"/>
  <c r="C156" i="2" s="1"/>
  <c r="C157" i="2" s="1"/>
  <c r="C158" i="2" s="1"/>
  <c r="C159" i="2" s="1"/>
  <c r="C160" i="2" s="1"/>
  <c r="C161" i="2" s="1"/>
  <c r="C163" i="2" s="1"/>
  <c r="C164" i="2" s="1"/>
  <c r="C165" i="2" s="1"/>
  <c r="C166" i="2" s="1"/>
  <c r="C167" i="2" s="1"/>
  <c r="C168" i="2" s="1"/>
  <c r="C169" i="2" s="1"/>
  <c r="C170" i="2" s="1"/>
  <c r="C171" i="2" s="1"/>
  <c r="C172" i="2" s="1"/>
  <c r="C173" i="2" s="1"/>
  <c r="C174" i="2" s="1"/>
  <c r="C175" i="2" s="1"/>
  <c r="C176" i="2" s="1"/>
  <c r="C177" i="2" s="1"/>
  <c r="C178" i="2" s="1"/>
  <c r="C179" i="2" s="1"/>
  <c r="C180" i="2" s="1"/>
  <c r="C181" i="2" s="1"/>
  <c r="C182" i="2" s="1"/>
  <c r="C183" i="2" s="1"/>
  <c r="C184" i="2" s="1"/>
  <c r="C185" i="2" s="1"/>
  <c r="C186" i="2" s="1"/>
  <c r="C187" i="2" s="1"/>
  <c r="C188" i="2" s="1"/>
  <c r="C189" i="2" s="1"/>
  <c r="C190" i="2" s="1"/>
  <c r="C191" i="2" s="1"/>
  <c r="BP245" i="2"/>
  <c r="BN245" i="2"/>
  <c r="BM245" i="2"/>
  <c r="BL245" i="2"/>
  <c r="BK245" i="2"/>
  <c r="BP244" i="2"/>
  <c r="BN244" i="2"/>
  <c r="BM244" i="2"/>
  <c r="BL244" i="2"/>
  <c r="BK244" i="2"/>
  <c r="N244" i="2"/>
  <c r="BJ244" i="2" s="1"/>
  <c r="C157" i="4" l="1"/>
  <c r="C158" i="4" s="1"/>
  <c r="C161" i="4" s="1"/>
  <c r="C162" i="4" s="1"/>
  <c r="C163" i="4" s="1"/>
  <c r="C164" i="4" s="1"/>
  <c r="C166" i="4" s="1"/>
  <c r="C168" i="4" s="1"/>
  <c r="C169" i="4" s="1"/>
  <c r="C173" i="4" s="1"/>
  <c r="C175" i="4" s="1"/>
  <c r="C177" i="4" s="1"/>
  <c r="C179" i="4" s="1"/>
  <c r="C155" i="4"/>
  <c r="C156" i="4" s="1"/>
  <c r="C159" i="4" s="1"/>
  <c r="C160" i="4" s="1"/>
  <c r="C192" i="2"/>
  <c r="C194" i="2" s="1"/>
  <c r="C196" i="2" s="1"/>
  <c r="C197" i="2" s="1"/>
  <c r="C198" i="2" s="1"/>
  <c r="C199" i="2" s="1"/>
  <c r="C200" i="2" s="1"/>
  <c r="C201" i="2" s="1"/>
  <c r="C202" i="2" s="1"/>
  <c r="C203" i="2" s="1"/>
  <c r="C204" i="2" s="1"/>
  <c r="C205" i="2" s="1"/>
  <c r="C206" i="2" s="1"/>
  <c r="C207" i="2" s="1"/>
  <c r="C209" i="2" s="1"/>
  <c r="C211" i="2" s="1"/>
  <c r="C213" i="2" s="1"/>
  <c r="C215" i="2" s="1"/>
  <c r="C218" i="2" s="1"/>
  <c r="C219" i="2" s="1"/>
  <c r="C193" i="2"/>
  <c r="C159" i="3"/>
  <c r="C160" i="3" s="1"/>
  <c r="C161" i="3" s="1"/>
  <c r="C162" i="3" s="1"/>
  <c r="C163" i="3" s="1"/>
  <c r="C164" i="3" s="1"/>
  <c r="C165" i="3" s="1"/>
  <c r="C166" i="3" s="1"/>
  <c r="C167" i="3" s="1"/>
  <c r="C168" i="3" s="1"/>
  <c r="C169" i="3" s="1"/>
  <c r="C171" i="3" s="1"/>
  <c r="C172" i="3" s="1"/>
  <c r="C173" i="3" s="1"/>
  <c r="C174" i="3" s="1"/>
  <c r="C175" i="3" s="1"/>
  <c r="C176" i="3" s="1"/>
  <c r="C178" i="3" s="1"/>
  <c r="N245" i="2"/>
  <c r="BJ245" i="2" s="1"/>
  <c r="C179" i="3" l="1"/>
  <c r="C181" i="3" s="1"/>
  <c r="C182" i="3" s="1"/>
  <c r="C183" i="3" s="1"/>
  <c r="C185" i="3" s="1"/>
  <c r="C187" i="3" s="1"/>
  <c r="C188" i="3" s="1"/>
  <c r="C189" i="3" s="1"/>
  <c r="C190" i="3" s="1"/>
  <c r="C191" i="3" s="1"/>
  <c r="C193" i="3" s="1"/>
  <c r="C196" i="3" s="1"/>
  <c r="C197" i="3" s="1"/>
  <c r="C198" i="3" s="1"/>
  <c r="C199" i="3" s="1"/>
  <c r="C200" i="3" s="1"/>
  <c r="C201" i="3" s="1"/>
  <c r="C203" i="3" s="1"/>
  <c r="C207" i="3" s="1"/>
  <c r="C209" i="3" s="1"/>
  <c r="C211" i="3" s="1"/>
  <c r="C213" i="3" s="1"/>
  <c r="BL269" i="2"/>
  <c r="BK269" i="2"/>
  <c r="BJ269" i="2"/>
  <c r="BI269" i="2"/>
  <c r="BL267" i="2"/>
  <c r="BK267" i="2"/>
  <c r="BJ267" i="2"/>
  <c r="BI267" i="2"/>
  <c r="BL265" i="2"/>
  <c r="BK265" i="2"/>
  <c r="BJ265" i="2"/>
  <c r="BI265" i="2"/>
  <c r="BL263" i="2"/>
  <c r="BK263" i="2"/>
  <c r="BJ263" i="2"/>
  <c r="BI263" i="2"/>
  <c r="BP260" i="2"/>
  <c r="K211" i="2"/>
  <c r="K213" i="2" s="1"/>
  <c r="BN213" i="2"/>
  <c r="BM213" i="2"/>
  <c r="BL213" i="2"/>
  <c r="BK213" i="2"/>
  <c r="BN212" i="2"/>
  <c r="BM212" i="2"/>
  <c r="BL212" i="2"/>
  <c r="BK212" i="2"/>
  <c r="BN211" i="2"/>
  <c r="BM211" i="2"/>
  <c r="BL211" i="2"/>
  <c r="BK211" i="2"/>
  <c r="BN191" i="2"/>
  <c r="BM191" i="2"/>
  <c r="BL191" i="2"/>
  <c r="BK191" i="2"/>
  <c r="K191" i="2"/>
  <c r="BP191" i="2" s="1"/>
  <c r="K190" i="2"/>
  <c r="K172" i="2"/>
  <c r="BP172" i="2" s="1"/>
  <c r="BN173" i="2"/>
  <c r="BM173" i="2"/>
  <c r="BL173" i="2"/>
  <c r="BK173" i="2"/>
  <c r="K164" i="2"/>
  <c r="K166" i="2"/>
  <c r="K171" i="2"/>
  <c r="K169" i="2"/>
  <c r="BP169" i="2" s="1"/>
  <c r="BN172" i="2"/>
  <c r="BM172" i="2"/>
  <c r="BL172" i="2"/>
  <c r="BK172" i="2"/>
  <c r="BN169" i="2"/>
  <c r="BM169" i="2"/>
  <c r="BL169" i="2"/>
  <c r="BK169" i="2"/>
  <c r="K167" i="2"/>
  <c r="BN164" i="2"/>
  <c r="BM164" i="2"/>
  <c r="BL164" i="2"/>
  <c r="BK164" i="2"/>
  <c r="BP161" i="2"/>
  <c r="BN161" i="2"/>
  <c r="BM161" i="2"/>
  <c r="BL161" i="2"/>
  <c r="BK161" i="2"/>
  <c r="N161" i="2"/>
  <c r="BJ161" i="2" s="1"/>
  <c r="BP159" i="2"/>
  <c r="BN159" i="2"/>
  <c r="BM159" i="2"/>
  <c r="BL159" i="2"/>
  <c r="BK159" i="2"/>
  <c r="N159" i="2"/>
  <c r="BJ159" i="2" s="1"/>
  <c r="BP158" i="2"/>
  <c r="BN158" i="2"/>
  <c r="BM158" i="2"/>
  <c r="BL158" i="2"/>
  <c r="BK158" i="2"/>
  <c r="N158" i="2"/>
  <c r="BJ158" i="2" s="1"/>
  <c r="BP157" i="2"/>
  <c r="BN157" i="2"/>
  <c r="BM157" i="2"/>
  <c r="BL157" i="2"/>
  <c r="BK157" i="2"/>
  <c r="N157" i="2"/>
  <c r="BJ157" i="2" s="1"/>
  <c r="BP156" i="2"/>
  <c r="BN156" i="2"/>
  <c r="BM156" i="2"/>
  <c r="BL156" i="2"/>
  <c r="BK156" i="2"/>
  <c r="N156" i="2"/>
  <c r="BJ156" i="2" s="1"/>
  <c r="BP155" i="2"/>
  <c r="BN155" i="2"/>
  <c r="BM155" i="2"/>
  <c r="BL155" i="2"/>
  <c r="BK155" i="2"/>
  <c r="N155" i="2"/>
  <c r="BJ155" i="2" s="1"/>
  <c r="BP146" i="2"/>
  <c r="BN146" i="2"/>
  <c r="BM146" i="2"/>
  <c r="BL146" i="2"/>
  <c r="BK146" i="2"/>
  <c r="N146" i="2"/>
  <c r="BJ146" i="2" s="1"/>
  <c r="K144" i="2"/>
  <c r="K138" i="2"/>
  <c r="BI142" i="5"/>
  <c r="BH142" i="5"/>
  <c r="BG142" i="5"/>
  <c r="BF142" i="5"/>
  <c r="AA142" i="5"/>
  <c r="AA141" i="5" s="1"/>
  <c r="Y142" i="5"/>
  <c r="Y141" i="5" s="1"/>
  <c r="W142" i="5"/>
  <c r="W141" i="5" s="1"/>
  <c r="BI140" i="5"/>
  <c r="BH140" i="5"/>
  <c r="BG140" i="5"/>
  <c r="BF140" i="5"/>
  <c r="AA140" i="5"/>
  <c r="AA139" i="5" s="1"/>
  <c r="Y140" i="5"/>
  <c r="Y139" i="5" s="1"/>
  <c r="W140" i="5"/>
  <c r="W139" i="5" s="1"/>
  <c r="BI138" i="5"/>
  <c r="BH138" i="5"/>
  <c r="BG138" i="5"/>
  <c r="BF138" i="5"/>
  <c r="AA138" i="5"/>
  <c r="AA137" i="5" s="1"/>
  <c r="Y138" i="5"/>
  <c r="Y137" i="5" s="1"/>
  <c r="W138" i="5"/>
  <c r="W137" i="5" s="1"/>
  <c r="BI136" i="5"/>
  <c r="BH136" i="5"/>
  <c r="BG136" i="5"/>
  <c r="BF136" i="5"/>
  <c r="AA136" i="5"/>
  <c r="AA135" i="5" s="1"/>
  <c r="Y136" i="5"/>
  <c r="Y135" i="5" s="1"/>
  <c r="W136" i="5"/>
  <c r="W135" i="5" s="1"/>
  <c r="BM133" i="5"/>
  <c r="AC133" i="5"/>
  <c r="K162" i="4"/>
  <c r="N158" i="4"/>
  <c r="K153" i="4"/>
  <c r="N154" i="4"/>
  <c r="K151" i="4"/>
  <c r="N152" i="4"/>
  <c r="N147" i="4"/>
  <c r="K137" i="4"/>
  <c r="K136" i="4"/>
  <c r="N135" i="4"/>
  <c r="N134" i="4"/>
  <c r="N133" i="4"/>
  <c r="K131" i="4"/>
  <c r="K130" i="4"/>
  <c r="N183" i="3"/>
  <c r="N182" i="3"/>
  <c r="N181" i="3"/>
  <c r="K168" i="3"/>
  <c r="K166" i="3"/>
  <c r="K164" i="3"/>
  <c r="K162" i="3"/>
  <c r="K160" i="3"/>
  <c r="K155" i="3"/>
  <c r="K153" i="3"/>
  <c r="K151" i="3"/>
  <c r="K142" i="3"/>
  <c r="K141" i="3"/>
  <c r="K140" i="3"/>
  <c r="N143" i="3"/>
  <c r="N139" i="3"/>
  <c r="AA134" i="5" l="1"/>
  <c r="AA133" i="5" s="1"/>
  <c r="N211" i="2"/>
  <c r="BJ211" i="2" s="1"/>
  <c r="BP211" i="2"/>
  <c r="K212" i="2"/>
  <c r="BP212" i="2" s="1"/>
  <c r="BP213" i="2"/>
  <c r="N213" i="2"/>
  <c r="BJ213" i="2" s="1"/>
  <c r="N172" i="2"/>
  <c r="BJ172" i="2" s="1"/>
  <c r="N191" i="2"/>
  <c r="BJ191" i="2" s="1"/>
  <c r="K173" i="2"/>
  <c r="N169" i="2"/>
  <c r="BJ169" i="2" s="1"/>
  <c r="N164" i="2"/>
  <c r="BJ164" i="2" s="1"/>
  <c r="BP164" i="2"/>
  <c r="W134" i="5"/>
  <c r="Y134" i="5"/>
  <c r="Y133" i="5" s="1"/>
  <c r="N153" i="4"/>
  <c r="N137" i="4"/>
  <c r="N136" i="4"/>
  <c r="N164" i="3"/>
  <c r="N168" i="3"/>
  <c r="N153" i="3"/>
  <c r="N162" i="3"/>
  <c r="N160" i="3"/>
  <c r="N140" i="3"/>
  <c r="N155" i="3"/>
  <c r="N151" i="3"/>
  <c r="N141" i="3"/>
  <c r="N142" i="3"/>
  <c r="N212" i="2" l="1"/>
  <c r="BJ212" i="2" s="1"/>
  <c r="BP173" i="2"/>
  <c r="N173" i="2"/>
  <c r="BJ173" i="2" s="1"/>
  <c r="N132" i="4"/>
  <c r="N93" i="4" s="1"/>
  <c r="C220" i="2"/>
  <c r="C222" i="2" s="1"/>
  <c r="C223" i="2" s="1"/>
  <c r="C224" i="2" s="1"/>
  <c r="C225" i="2" s="1"/>
  <c r="C226" i="2" s="1"/>
  <c r="C227" i="2" s="1"/>
  <c r="C228" i="2" s="1"/>
  <c r="C230" i="2" s="1"/>
  <c r="C231" i="2" s="1"/>
  <c r="C232" i="2" s="1"/>
  <c r="C233" i="2" s="1"/>
  <c r="C234" i="2" s="1"/>
  <c r="C235" i="2" s="1"/>
  <c r="C236" i="2" s="1"/>
  <c r="C237" i="2" s="1"/>
  <c r="C238" i="2" s="1"/>
  <c r="C239" i="2" s="1"/>
  <c r="C240" i="2" s="1"/>
  <c r="C241" i="2" s="1"/>
  <c r="C242" i="2" s="1"/>
  <c r="C244" i="2" s="1"/>
  <c r="C245" i="2" s="1"/>
  <c r="C246" i="2" s="1"/>
  <c r="C247" i="2" s="1"/>
  <c r="C249" i="2" s="1"/>
  <c r="C250" i="2" s="1"/>
  <c r="C251" i="2" s="1"/>
  <c r="C252" i="2" s="1"/>
  <c r="C253" i="2" s="1"/>
  <c r="C255" i="2" s="1"/>
  <c r="C256" i="2" s="1"/>
  <c r="C257" i="2" s="1"/>
  <c r="C258" i="2" s="1"/>
  <c r="C259" i="2" s="1"/>
  <c r="C263" i="2" s="1"/>
  <c r="C265" i="2" s="1"/>
  <c r="C267" i="2" s="1"/>
  <c r="C269" i="2" s="1"/>
  <c r="BN194" i="2"/>
  <c r="BM194" i="2"/>
  <c r="BL194" i="2"/>
  <c r="BK194" i="2"/>
  <c r="K189" i="2"/>
  <c r="K188" i="2"/>
  <c r="BN190" i="2"/>
  <c r="BM190" i="2"/>
  <c r="BL190" i="2"/>
  <c r="BK190" i="2"/>
  <c r="BP190" i="2" l="1"/>
  <c r="K192" i="2"/>
  <c r="N194" i="2"/>
  <c r="BJ194" i="2" s="1"/>
  <c r="BP194" i="2"/>
  <c r="N190" i="2"/>
  <c r="BJ190" i="2" s="1"/>
  <c r="J91" i="1" l="1"/>
  <c r="J90" i="1"/>
  <c r="J89" i="1"/>
  <c r="J88" i="1"/>
  <c r="N189" i="2"/>
  <c r="BJ189" i="2" s="1"/>
  <c r="N192" i="2"/>
  <c r="BJ192" i="2" s="1"/>
  <c r="BP192" i="2"/>
  <c r="BN192" i="2"/>
  <c r="BM192" i="2"/>
  <c r="BL192" i="2"/>
  <c r="BK192" i="2"/>
  <c r="BP189" i="2"/>
  <c r="BN189" i="2"/>
  <c r="BM189" i="2"/>
  <c r="BL189" i="2"/>
  <c r="BK189" i="2"/>
  <c r="BP188" i="2"/>
  <c r="BN188" i="2"/>
  <c r="BM188" i="2"/>
  <c r="BL188" i="2"/>
  <c r="BK188" i="2"/>
  <c r="N188" i="2"/>
  <c r="BJ188" i="2" s="1"/>
  <c r="BP187" i="2"/>
  <c r="BN187" i="2"/>
  <c r="BM187" i="2"/>
  <c r="BL187" i="2"/>
  <c r="BK187" i="2"/>
  <c r="N187" i="2"/>
  <c r="BJ187" i="2" s="1"/>
  <c r="K115" i="5"/>
  <c r="K116" i="5" s="1"/>
  <c r="K117" i="5" s="1"/>
  <c r="BN131" i="5"/>
  <c r="BI131" i="5"/>
  <c r="BH131" i="5"/>
  <c r="BG131" i="5"/>
  <c r="BF131" i="5"/>
  <c r="AA131" i="5"/>
  <c r="Y131" i="5"/>
  <c r="W131" i="5"/>
  <c r="BK131" i="5"/>
  <c r="BN130" i="5"/>
  <c r="BI130" i="5"/>
  <c r="BH130" i="5"/>
  <c r="BG130" i="5"/>
  <c r="BF130" i="5"/>
  <c r="AA130" i="5"/>
  <c r="Y130" i="5"/>
  <c r="W130" i="5"/>
  <c r="N130" i="5"/>
  <c r="BN129" i="5"/>
  <c r="BI129" i="5"/>
  <c r="BH129" i="5"/>
  <c r="BG129" i="5"/>
  <c r="BF129" i="5"/>
  <c r="AA129" i="5"/>
  <c r="Y129" i="5"/>
  <c r="W129" i="5"/>
  <c r="BK129" i="5"/>
  <c r="Y117" i="5" l="1"/>
  <c r="BK117" i="5"/>
  <c r="W117" i="5"/>
  <c r="N117" i="5"/>
  <c r="AA117" i="5"/>
  <c r="N131" i="5"/>
  <c r="BE130" i="5"/>
  <c r="BM130" i="5"/>
  <c r="BK130" i="5"/>
  <c r="N129" i="5"/>
  <c r="BM117" i="5" l="1"/>
  <c r="BE117" i="5"/>
  <c r="BM131" i="5"/>
  <c r="BE131" i="5"/>
  <c r="BE129" i="5"/>
  <c r="BM129" i="5"/>
  <c r="BM91" i="5" l="1"/>
  <c r="BK91" i="5"/>
  <c r="Y111" i="5"/>
  <c r="W111" i="5"/>
  <c r="BL91" i="5"/>
  <c r="AA111" i="5"/>
  <c r="BN132" i="5"/>
  <c r="BI132" i="5"/>
  <c r="BH132" i="5"/>
  <c r="BG132" i="5"/>
  <c r="BF132" i="5"/>
  <c r="AA132" i="5"/>
  <c r="Y132" i="5"/>
  <c r="W132" i="5"/>
  <c r="N132" i="5"/>
  <c r="BE132" i="5" s="1"/>
  <c r="BK132" i="5"/>
  <c r="BN128" i="5"/>
  <c r="BK128" i="5"/>
  <c r="BI128" i="5"/>
  <c r="BH128" i="5"/>
  <c r="BG128" i="5"/>
  <c r="BF128" i="5"/>
  <c r="AA128" i="5"/>
  <c r="Y128" i="5"/>
  <c r="W128" i="5"/>
  <c r="N128" i="5"/>
  <c r="BE128" i="5" s="1"/>
  <c r="BN127" i="5"/>
  <c r="BI127" i="5"/>
  <c r="BH127" i="5"/>
  <c r="BG127" i="5"/>
  <c r="BF127" i="5"/>
  <c r="AA127" i="5"/>
  <c r="Y127" i="5"/>
  <c r="W127" i="5"/>
  <c r="BK127" i="5"/>
  <c r="BN126" i="5"/>
  <c r="BI126" i="5"/>
  <c r="BH126" i="5"/>
  <c r="BG126" i="5"/>
  <c r="BF126" i="5"/>
  <c r="AA126" i="5"/>
  <c r="Y126" i="5"/>
  <c r="W126" i="5"/>
  <c r="BK126" i="5"/>
  <c r="BN125" i="5"/>
  <c r="BI125" i="5"/>
  <c r="BH125" i="5"/>
  <c r="BG125" i="5"/>
  <c r="BF125" i="5"/>
  <c r="AA125" i="5"/>
  <c r="Y125" i="5"/>
  <c r="W125" i="5"/>
  <c r="BK125" i="5"/>
  <c r="BN124" i="5"/>
  <c r="BK124" i="5"/>
  <c r="BI124" i="5"/>
  <c r="BH124" i="5"/>
  <c r="BG124" i="5"/>
  <c r="BF124" i="5"/>
  <c r="AA124" i="5"/>
  <c r="Y124" i="5"/>
  <c r="W124" i="5"/>
  <c r="N124" i="5"/>
  <c r="BL123" i="5"/>
  <c r="BL90" i="5" s="1"/>
  <c r="AA123" i="5"/>
  <c r="Y123" i="5"/>
  <c r="W123" i="5"/>
  <c r="BN116" i="5"/>
  <c r="BK116" i="5"/>
  <c r="BI116" i="5"/>
  <c r="BH116" i="5"/>
  <c r="BG116" i="5"/>
  <c r="BF116" i="5"/>
  <c r="AA116" i="5"/>
  <c r="Y116" i="5"/>
  <c r="W116" i="5"/>
  <c r="N116" i="5"/>
  <c r="BM116" i="5" s="1"/>
  <c r="BN115" i="5"/>
  <c r="BK115" i="5"/>
  <c r="BI115" i="5"/>
  <c r="BH115" i="5"/>
  <c r="BG115" i="5"/>
  <c r="BF115" i="5"/>
  <c r="AA115" i="5"/>
  <c r="Y115" i="5"/>
  <c r="W115" i="5"/>
  <c r="N115" i="5"/>
  <c r="BE115" i="5" s="1"/>
  <c r="BN114" i="5"/>
  <c r="BK114" i="5"/>
  <c r="BI114" i="5"/>
  <c r="BH114" i="5"/>
  <c r="BG114" i="5"/>
  <c r="BF114" i="5"/>
  <c r="AA114" i="5"/>
  <c r="Y114" i="5"/>
  <c r="W114" i="5"/>
  <c r="N114" i="5"/>
  <c r="F108" i="5"/>
  <c r="M107" i="5"/>
  <c r="F107" i="5"/>
  <c r="F105" i="5"/>
  <c r="F103" i="5"/>
  <c r="BL89" i="5"/>
  <c r="BL88" i="5"/>
  <c r="F83" i="5"/>
  <c r="M82" i="5"/>
  <c r="F82" i="5"/>
  <c r="F80" i="5"/>
  <c r="F78" i="5"/>
  <c r="M108" i="5"/>
  <c r="BL87" i="5" l="1"/>
  <c r="BN91" i="5"/>
  <c r="BM124" i="5"/>
  <c r="Y113" i="5"/>
  <c r="Y112" i="5" s="1"/>
  <c r="BM114" i="5"/>
  <c r="N113" i="5"/>
  <c r="BN123" i="5"/>
  <c r="BN90" i="5" s="1"/>
  <c r="BE116" i="5"/>
  <c r="AA113" i="5"/>
  <c r="AA112" i="5" s="1"/>
  <c r="H33" i="5"/>
  <c r="BN113" i="5"/>
  <c r="BE114" i="5"/>
  <c r="W113" i="5"/>
  <c r="W112" i="5" s="1"/>
  <c r="BK113" i="5"/>
  <c r="BK89" i="5" s="1"/>
  <c r="H35" i="5"/>
  <c r="BK123" i="5"/>
  <c r="H34" i="5"/>
  <c r="BE124" i="5"/>
  <c r="M83" i="5"/>
  <c r="N126" i="5"/>
  <c r="BM132" i="5"/>
  <c r="N125" i="5"/>
  <c r="BM115" i="5"/>
  <c r="BM128" i="5"/>
  <c r="N127" i="5"/>
  <c r="N123" i="5" l="1"/>
  <c r="N90" i="5" s="1"/>
  <c r="BN112" i="5"/>
  <c r="BN111" i="5" s="1"/>
  <c r="N89" i="5"/>
  <c r="BM113" i="5"/>
  <c r="BM89" i="5" s="1"/>
  <c r="BN89" i="5"/>
  <c r="BK112" i="5"/>
  <c r="BK88" i="5" s="1"/>
  <c r="BK87" i="5" s="1"/>
  <c r="BK90" i="5"/>
  <c r="BE127" i="5"/>
  <c r="BM127" i="5"/>
  <c r="BE126" i="5"/>
  <c r="BM126" i="5"/>
  <c r="BM125" i="5"/>
  <c r="BE125" i="5"/>
  <c r="BN88" i="5" l="1"/>
  <c r="BN87" i="5" s="1"/>
  <c r="N112" i="5"/>
  <c r="BK111" i="5"/>
  <c r="BM123" i="5"/>
  <c r="N88" i="5" l="1"/>
  <c r="N133" i="5"/>
  <c r="BM90" i="5"/>
  <c r="BM112" i="5"/>
  <c r="L136" i="5" l="1"/>
  <c r="L142" i="5"/>
  <c r="L138" i="5"/>
  <c r="L140" i="5"/>
  <c r="BM88" i="5"/>
  <c r="BM87" i="5" s="1"/>
  <c r="BM111" i="5"/>
  <c r="N140" i="5" l="1"/>
  <c r="BK140" i="5"/>
  <c r="BK139" i="5" s="1"/>
  <c r="N136" i="5"/>
  <c r="BK136" i="5"/>
  <c r="BK135" i="5" s="1"/>
  <c r="BK138" i="5"/>
  <c r="BK137" i="5" s="1"/>
  <c r="N138" i="5"/>
  <c r="N142" i="5"/>
  <c r="BK142" i="5"/>
  <c r="BK141" i="5" s="1"/>
  <c r="N149" i="3"/>
  <c r="BP252" i="2"/>
  <c r="BN252" i="2"/>
  <c r="BM252" i="2"/>
  <c r="BL252" i="2"/>
  <c r="BK252" i="2"/>
  <c r="N252" i="2"/>
  <c r="BJ252" i="2" s="1"/>
  <c r="BP247" i="2"/>
  <c r="BN247" i="2"/>
  <c r="BM247" i="2"/>
  <c r="BL247" i="2"/>
  <c r="BK247" i="2"/>
  <c r="N247" i="2"/>
  <c r="BJ247" i="2" s="1"/>
  <c r="BP160" i="2"/>
  <c r="BN160" i="2"/>
  <c r="BM160" i="2"/>
  <c r="BL160" i="2"/>
  <c r="BK160" i="2"/>
  <c r="N160" i="2"/>
  <c r="BJ160" i="2" s="1"/>
  <c r="BP154" i="2"/>
  <c r="BN154" i="2"/>
  <c r="BM154" i="2"/>
  <c r="BL154" i="2"/>
  <c r="BK154" i="2"/>
  <c r="N154" i="2"/>
  <c r="BJ154" i="2" s="1"/>
  <c r="N169" i="4"/>
  <c r="N168" i="4"/>
  <c r="N166" i="4"/>
  <c r="N164" i="4"/>
  <c r="N163" i="4"/>
  <c r="N162" i="4"/>
  <c r="N161" i="4"/>
  <c r="N157" i="4"/>
  <c r="N151" i="4"/>
  <c r="N148" i="4"/>
  <c r="N146" i="4"/>
  <c r="N144" i="4"/>
  <c r="N143" i="4"/>
  <c r="N142" i="4"/>
  <c r="N139" i="4"/>
  <c r="N131" i="4"/>
  <c r="N130" i="4"/>
  <c r="N128" i="4"/>
  <c r="N126" i="4"/>
  <c r="N125" i="4"/>
  <c r="M119" i="4"/>
  <c r="M118" i="4"/>
  <c r="F118" i="4"/>
  <c r="F116" i="4"/>
  <c r="F114" i="4"/>
  <c r="M28" i="4"/>
  <c r="M84" i="4"/>
  <c r="M83" i="4"/>
  <c r="F83" i="4"/>
  <c r="F81" i="4"/>
  <c r="F79" i="4"/>
  <c r="F119" i="4"/>
  <c r="F6" i="4"/>
  <c r="N203" i="3"/>
  <c r="N201" i="3"/>
  <c r="N200" i="3"/>
  <c r="N199" i="3"/>
  <c r="N198" i="3"/>
  <c r="N197" i="3"/>
  <c r="N196" i="3"/>
  <c r="N193" i="3"/>
  <c r="N191" i="3"/>
  <c r="N190" i="3"/>
  <c r="N189" i="3"/>
  <c r="N188" i="3"/>
  <c r="N187" i="3"/>
  <c r="N185" i="3"/>
  <c r="N179" i="3"/>
  <c r="N178" i="3"/>
  <c r="N176" i="3"/>
  <c r="N175" i="3"/>
  <c r="N174" i="3"/>
  <c r="N173" i="3"/>
  <c r="N172" i="3"/>
  <c r="N171" i="3"/>
  <c r="N169" i="3"/>
  <c r="N167" i="3"/>
  <c r="N166" i="3"/>
  <c r="N163" i="3"/>
  <c r="N165" i="3"/>
  <c r="N161" i="3"/>
  <c r="N159" i="3"/>
  <c r="N158" i="3"/>
  <c r="N156" i="3"/>
  <c r="N154" i="3"/>
  <c r="N152" i="3"/>
  <c r="N150" i="3"/>
  <c r="N148" i="3"/>
  <c r="N145" i="3"/>
  <c r="N138" i="3"/>
  <c r="N137" i="3"/>
  <c r="N135" i="3"/>
  <c r="N133" i="3"/>
  <c r="N132" i="3"/>
  <c r="N130" i="3"/>
  <c r="N129" i="3"/>
  <c r="N128" i="3"/>
  <c r="M122" i="3"/>
  <c r="M121" i="3"/>
  <c r="F121" i="3"/>
  <c r="F119" i="3"/>
  <c r="F117" i="3"/>
  <c r="M28" i="3"/>
  <c r="M84" i="3"/>
  <c r="M83" i="3"/>
  <c r="F83" i="3"/>
  <c r="F81" i="3"/>
  <c r="F79" i="3"/>
  <c r="F122" i="3"/>
  <c r="M119" i="3"/>
  <c r="F6" i="3"/>
  <c r="F78" i="3" s="1"/>
  <c r="BN259" i="2"/>
  <c r="BM259" i="2"/>
  <c r="BL259" i="2"/>
  <c r="BK259" i="2"/>
  <c r="BP259" i="2"/>
  <c r="N259" i="2"/>
  <c r="BJ259" i="2" s="1"/>
  <c r="BN258" i="2"/>
  <c r="BM258" i="2"/>
  <c r="BL258" i="2"/>
  <c r="BK258" i="2"/>
  <c r="BP258" i="2"/>
  <c r="N258" i="2"/>
  <c r="BJ258" i="2" s="1"/>
  <c r="BN257" i="2"/>
  <c r="BM257" i="2"/>
  <c r="BL257" i="2"/>
  <c r="BK257" i="2"/>
  <c r="BP257" i="2"/>
  <c r="N257" i="2"/>
  <c r="BJ257" i="2" s="1"/>
  <c r="BN256" i="2"/>
  <c r="BM256" i="2"/>
  <c r="BL256" i="2"/>
  <c r="BK256" i="2"/>
  <c r="BP256" i="2"/>
  <c r="N256" i="2"/>
  <c r="BJ256" i="2" s="1"/>
  <c r="BN255" i="2"/>
  <c r="BM255" i="2"/>
  <c r="BL255" i="2"/>
  <c r="BK255" i="2"/>
  <c r="BP255" i="2"/>
  <c r="N255" i="2"/>
  <c r="BN253" i="2"/>
  <c r="BM253" i="2"/>
  <c r="BL253" i="2"/>
  <c r="BK253" i="2"/>
  <c r="BP253" i="2"/>
  <c r="N253" i="2"/>
  <c r="BJ253" i="2" s="1"/>
  <c r="BN251" i="2"/>
  <c r="BM251" i="2"/>
  <c r="BL251" i="2"/>
  <c r="BK251" i="2"/>
  <c r="BP251" i="2"/>
  <c r="N251" i="2"/>
  <c r="BJ251" i="2" s="1"/>
  <c r="BN250" i="2"/>
  <c r="BM250" i="2"/>
  <c r="BL250" i="2"/>
  <c r="BK250" i="2"/>
  <c r="BP250" i="2"/>
  <c r="N250" i="2"/>
  <c r="BJ250" i="2" s="1"/>
  <c r="BN249" i="2"/>
  <c r="BM249" i="2"/>
  <c r="BL249" i="2"/>
  <c r="BK249" i="2"/>
  <c r="BP249" i="2"/>
  <c r="N249" i="2"/>
  <c r="BJ249" i="2" s="1"/>
  <c r="BN246" i="2"/>
  <c r="BM246" i="2"/>
  <c r="BL246" i="2"/>
  <c r="BK246" i="2"/>
  <c r="BP246" i="2"/>
  <c r="N246" i="2"/>
  <c r="BN242" i="2"/>
  <c r="BM242" i="2"/>
  <c r="BL242" i="2"/>
  <c r="BK242" i="2"/>
  <c r="BP242" i="2"/>
  <c r="N242" i="2"/>
  <c r="BJ242" i="2" s="1"/>
  <c r="BN241" i="2"/>
  <c r="BM241" i="2"/>
  <c r="BL241" i="2"/>
  <c r="BK241" i="2"/>
  <c r="BP241" i="2"/>
  <c r="N241" i="2"/>
  <c r="BJ241" i="2" s="1"/>
  <c r="BN240" i="2"/>
  <c r="BM240" i="2"/>
  <c r="BL240" i="2"/>
  <c r="BK240" i="2"/>
  <c r="BP240" i="2"/>
  <c r="N240" i="2"/>
  <c r="BJ240" i="2" s="1"/>
  <c r="BN239" i="2"/>
  <c r="BM239" i="2"/>
  <c r="BL239" i="2"/>
  <c r="BK239" i="2"/>
  <c r="BP239" i="2"/>
  <c r="N239" i="2"/>
  <c r="BJ239" i="2" s="1"/>
  <c r="BN238" i="2"/>
  <c r="BM238" i="2"/>
  <c r="BL238" i="2"/>
  <c r="BK238" i="2"/>
  <c r="BP238" i="2"/>
  <c r="N238" i="2"/>
  <c r="BJ238" i="2" s="1"/>
  <c r="BN237" i="2"/>
  <c r="BM237" i="2"/>
  <c r="BL237" i="2"/>
  <c r="BK237" i="2"/>
  <c r="BP237" i="2"/>
  <c r="N237" i="2"/>
  <c r="BJ237" i="2" s="1"/>
  <c r="BN236" i="2"/>
  <c r="BM236" i="2"/>
  <c r="BL236" i="2"/>
  <c r="BK236" i="2"/>
  <c r="BP236" i="2"/>
  <c r="N236" i="2"/>
  <c r="BJ236" i="2" s="1"/>
  <c r="BN235" i="2"/>
  <c r="BM235" i="2"/>
  <c r="BL235" i="2"/>
  <c r="BK235" i="2"/>
  <c r="BP235" i="2"/>
  <c r="N235" i="2"/>
  <c r="BJ235" i="2" s="1"/>
  <c r="BN234" i="2"/>
  <c r="BM234" i="2"/>
  <c r="BL234" i="2"/>
  <c r="BK234" i="2"/>
  <c r="BP234" i="2"/>
  <c r="N234" i="2"/>
  <c r="BJ234" i="2" s="1"/>
  <c r="BN233" i="2"/>
  <c r="BM233" i="2"/>
  <c r="BL233" i="2"/>
  <c r="BK233" i="2"/>
  <c r="BP233" i="2"/>
  <c r="N233" i="2"/>
  <c r="BJ233" i="2" s="1"/>
  <c r="BN232" i="2"/>
  <c r="BM232" i="2"/>
  <c r="BL232" i="2"/>
  <c r="BK232" i="2"/>
  <c r="BP232" i="2"/>
  <c r="N232" i="2"/>
  <c r="BJ232" i="2" s="1"/>
  <c r="BN231" i="2"/>
  <c r="BM231" i="2"/>
  <c r="BL231" i="2"/>
  <c r="BK231" i="2"/>
  <c r="BP231" i="2"/>
  <c r="N231" i="2"/>
  <c r="BJ231" i="2" s="1"/>
  <c r="BN230" i="2"/>
  <c r="BM230" i="2"/>
  <c r="BL230" i="2"/>
  <c r="BK230" i="2"/>
  <c r="BP230" i="2"/>
  <c r="N230" i="2"/>
  <c r="BN228" i="2"/>
  <c r="BM228" i="2"/>
  <c r="BL228" i="2"/>
  <c r="BK228" i="2"/>
  <c r="BP228" i="2"/>
  <c r="N228" i="2"/>
  <c r="BJ228" i="2" s="1"/>
  <c r="BN227" i="2"/>
  <c r="BM227" i="2"/>
  <c r="BL227" i="2"/>
  <c r="BK227" i="2"/>
  <c r="BP227" i="2"/>
  <c r="N227" i="2"/>
  <c r="BJ227" i="2" s="1"/>
  <c r="BN226" i="2"/>
  <c r="BM226" i="2"/>
  <c r="BL226" i="2"/>
  <c r="BK226" i="2"/>
  <c r="BP226" i="2"/>
  <c r="N226" i="2"/>
  <c r="BJ226" i="2" s="1"/>
  <c r="BN225" i="2"/>
  <c r="BM225" i="2"/>
  <c r="BL225" i="2"/>
  <c r="BK225" i="2"/>
  <c r="BP225" i="2"/>
  <c r="N225" i="2"/>
  <c r="BJ225" i="2" s="1"/>
  <c r="BN224" i="2"/>
  <c r="BM224" i="2"/>
  <c r="BL224" i="2"/>
  <c r="BK224" i="2"/>
  <c r="BP224" i="2"/>
  <c r="N224" i="2"/>
  <c r="BJ224" i="2" s="1"/>
  <c r="BN223" i="2"/>
  <c r="BM223" i="2"/>
  <c r="BL223" i="2"/>
  <c r="BK223" i="2"/>
  <c r="BP223" i="2"/>
  <c r="N223" i="2"/>
  <c r="BJ223" i="2" s="1"/>
  <c r="BN222" i="2"/>
  <c r="BM222" i="2"/>
  <c r="BL222" i="2"/>
  <c r="BK222" i="2"/>
  <c r="BP222" i="2"/>
  <c r="N222" i="2"/>
  <c r="BN220" i="2"/>
  <c r="BM220" i="2"/>
  <c r="BL220" i="2"/>
  <c r="BK220" i="2"/>
  <c r="BP220" i="2"/>
  <c r="N220" i="2"/>
  <c r="BJ220" i="2" s="1"/>
  <c r="BN219" i="2"/>
  <c r="BM219" i="2"/>
  <c r="BL219" i="2"/>
  <c r="BK219" i="2"/>
  <c r="BP219" i="2"/>
  <c r="N219" i="2"/>
  <c r="BJ219" i="2" s="1"/>
  <c r="BN218" i="2"/>
  <c r="BM218" i="2"/>
  <c r="BL218" i="2"/>
  <c r="BK218" i="2"/>
  <c r="BP218" i="2"/>
  <c r="N218" i="2"/>
  <c r="BN215" i="2"/>
  <c r="BM215" i="2"/>
  <c r="BL215" i="2"/>
  <c r="BK215" i="2"/>
  <c r="BP215" i="2"/>
  <c r="BP214" i="2" s="1"/>
  <c r="N215" i="2"/>
  <c r="N214" i="2" s="1"/>
  <c r="BN210" i="2"/>
  <c r="BM210" i="2"/>
  <c r="BL210" i="2"/>
  <c r="BK210" i="2"/>
  <c r="BP210" i="2"/>
  <c r="N210" i="2"/>
  <c r="BJ210" i="2" s="1"/>
  <c r="BN209" i="2"/>
  <c r="BM209" i="2"/>
  <c r="BL209" i="2"/>
  <c r="BK209" i="2"/>
  <c r="BP209" i="2"/>
  <c r="N209" i="2"/>
  <c r="BN207" i="2"/>
  <c r="BM207" i="2"/>
  <c r="BL207" i="2"/>
  <c r="BK207" i="2"/>
  <c r="BP207" i="2"/>
  <c r="N207" i="2"/>
  <c r="BJ207" i="2" s="1"/>
  <c r="BN206" i="2"/>
  <c r="BM206" i="2"/>
  <c r="BL206" i="2"/>
  <c r="BK206" i="2"/>
  <c r="BP206" i="2"/>
  <c r="N206" i="2"/>
  <c r="BJ206" i="2" s="1"/>
  <c r="BN205" i="2"/>
  <c r="BM205" i="2"/>
  <c r="BL205" i="2"/>
  <c r="BK205" i="2"/>
  <c r="BP205" i="2"/>
  <c r="N205" i="2"/>
  <c r="BJ205" i="2" s="1"/>
  <c r="BN204" i="2"/>
  <c r="BM204" i="2"/>
  <c r="BL204" i="2"/>
  <c r="BK204" i="2"/>
  <c r="BP204" i="2"/>
  <c r="N204" i="2"/>
  <c r="BJ204" i="2" s="1"/>
  <c r="BN203" i="2"/>
  <c r="BM203" i="2"/>
  <c r="BL203" i="2"/>
  <c r="BK203" i="2"/>
  <c r="BP203" i="2"/>
  <c r="N203" i="2"/>
  <c r="BJ203" i="2" s="1"/>
  <c r="BN202" i="2"/>
  <c r="BM202" i="2"/>
  <c r="BL202" i="2"/>
  <c r="BK202" i="2"/>
  <c r="BP202" i="2"/>
  <c r="N202" i="2"/>
  <c r="BJ202" i="2" s="1"/>
  <c r="BN201" i="2"/>
  <c r="BM201" i="2"/>
  <c r="BL201" i="2"/>
  <c r="BK201" i="2"/>
  <c r="BP201" i="2"/>
  <c r="N201" i="2"/>
  <c r="BJ201" i="2" s="1"/>
  <c r="BN200" i="2"/>
  <c r="BM200" i="2"/>
  <c r="BL200" i="2"/>
  <c r="BK200" i="2"/>
  <c r="BP200" i="2"/>
  <c r="N200" i="2"/>
  <c r="BJ200" i="2" s="1"/>
  <c r="BN199" i="2"/>
  <c r="BM199" i="2"/>
  <c r="BL199" i="2"/>
  <c r="BK199" i="2"/>
  <c r="BP199" i="2"/>
  <c r="N199" i="2"/>
  <c r="BJ199" i="2" s="1"/>
  <c r="BN198" i="2"/>
  <c r="BM198" i="2"/>
  <c r="BL198" i="2"/>
  <c r="BK198" i="2"/>
  <c r="BP198" i="2"/>
  <c r="N198" i="2"/>
  <c r="BJ198" i="2" s="1"/>
  <c r="BN197" i="2"/>
  <c r="BM197" i="2"/>
  <c r="BL197" i="2"/>
  <c r="BK197" i="2"/>
  <c r="BP197" i="2"/>
  <c r="N197" i="2"/>
  <c r="BJ197" i="2" s="1"/>
  <c r="BN196" i="2"/>
  <c r="BM196" i="2"/>
  <c r="BL196" i="2"/>
  <c r="BK196" i="2"/>
  <c r="BP196" i="2"/>
  <c r="N196" i="2"/>
  <c r="BN186" i="2"/>
  <c r="BM186" i="2"/>
  <c r="BL186" i="2"/>
  <c r="BK186" i="2"/>
  <c r="BP186" i="2"/>
  <c r="N186" i="2"/>
  <c r="BJ186" i="2" s="1"/>
  <c r="BN185" i="2"/>
  <c r="BM185" i="2"/>
  <c r="BL185" i="2"/>
  <c r="BK185" i="2"/>
  <c r="BP185" i="2"/>
  <c r="N185" i="2"/>
  <c r="BJ185" i="2" s="1"/>
  <c r="BN184" i="2"/>
  <c r="BM184" i="2"/>
  <c r="BL184" i="2"/>
  <c r="BK184" i="2"/>
  <c r="BP184" i="2"/>
  <c r="N184" i="2"/>
  <c r="BJ184" i="2" s="1"/>
  <c r="BN183" i="2"/>
  <c r="BM183" i="2"/>
  <c r="BL183" i="2"/>
  <c r="BK183" i="2"/>
  <c r="BP183" i="2"/>
  <c r="N183" i="2"/>
  <c r="BJ183" i="2" s="1"/>
  <c r="BN182" i="2"/>
  <c r="BM182" i="2"/>
  <c r="BL182" i="2"/>
  <c r="BK182" i="2"/>
  <c r="BP182" i="2"/>
  <c r="N182" i="2"/>
  <c r="BJ182" i="2" s="1"/>
  <c r="BN181" i="2"/>
  <c r="BM181" i="2"/>
  <c r="BL181" i="2"/>
  <c r="BK181" i="2"/>
  <c r="BP181" i="2"/>
  <c r="N181" i="2"/>
  <c r="BJ181" i="2" s="1"/>
  <c r="BN180" i="2"/>
  <c r="BM180" i="2"/>
  <c r="BL180" i="2"/>
  <c r="BK180" i="2"/>
  <c r="BP180" i="2"/>
  <c r="N180" i="2"/>
  <c r="BJ180" i="2" s="1"/>
  <c r="BN179" i="2"/>
  <c r="BM179" i="2"/>
  <c r="BL179" i="2"/>
  <c r="BK179" i="2"/>
  <c r="BP179" i="2"/>
  <c r="N179" i="2"/>
  <c r="BJ179" i="2" s="1"/>
  <c r="BN178" i="2"/>
  <c r="BM178" i="2"/>
  <c r="BL178" i="2"/>
  <c r="BK178" i="2"/>
  <c r="BP178" i="2"/>
  <c r="N178" i="2"/>
  <c r="BJ178" i="2" s="1"/>
  <c r="BN177" i="2"/>
  <c r="BM177" i="2"/>
  <c r="BL177" i="2"/>
  <c r="BK177" i="2"/>
  <c r="BP177" i="2"/>
  <c r="N177" i="2"/>
  <c r="BJ177" i="2" s="1"/>
  <c r="BN176" i="2"/>
  <c r="BM176" i="2"/>
  <c r="BL176" i="2"/>
  <c r="BK176" i="2"/>
  <c r="BP176" i="2"/>
  <c r="N176" i="2"/>
  <c r="BJ176" i="2" s="1"/>
  <c r="BN175" i="2"/>
  <c r="BM175" i="2"/>
  <c r="BL175" i="2"/>
  <c r="BK175" i="2"/>
  <c r="BP175" i="2"/>
  <c r="N175" i="2"/>
  <c r="BJ175" i="2" s="1"/>
  <c r="BN174" i="2"/>
  <c r="BM174" i="2"/>
  <c r="BL174" i="2"/>
  <c r="BK174" i="2"/>
  <c r="BP174" i="2"/>
  <c r="N174" i="2"/>
  <c r="BJ174" i="2" s="1"/>
  <c r="BN171" i="2"/>
  <c r="BM171" i="2"/>
  <c r="BL171" i="2"/>
  <c r="BK171" i="2"/>
  <c r="BP171" i="2"/>
  <c r="N171" i="2"/>
  <c r="BJ171" i="2" s="1"/>
  <c r="BN170" i="2"/>
  <c r="BM170" i="2"/>
  <c r="BL170" i="2"/>
  <c r="BK170" i="2"/>
  <c r="BP170" i="2"/>
  <c r="N170" i="2"/>
  <c r="BJ170" i="2" s="1"/>
  <c r="BN168" i="2"/>
  <c r="BM168" i="2"/>
  <c r="BL168" i="2"/>
  <c r="BK168" i="2"/>
  <c r="BP168" i="2"/>
  <c r="N168" i="2"/>
  <c r="BJ168" i="2" s="1"/>
  <c r="BN167" i="2"/>
  <c r="BM167" i="2"/>
  <c r="BL167" i="2"/>
  <c r="BK167" i="2"/>
  <c r="BP167" i="2"/>
  <c r="N167" i="2"/>
  <c r="BJ167" i="2" s="1"/>
  <c r="BN166" i="2"/>
  <c r="BM166" i="2"/>
  <c r="BL166" i="2"/>
  <c r="BK166" i="2"/>
  <c r="BP166" i="2"/>
  <c r="N166" i="2"/>
  <c r="BJ166" i="2" s="1"/>
  <c r="BN165" i="2"/>
  <c r="BM165" i="2"/>
  <c r="BL165" i="2"/>
  <c r="BK165" i="2"/>
  <c r="BP165" i="2"/>
  <c r="N165" i="2"/>
  <c r="BJ165" i="2" s="1"/>
  <c r="BN163" i="2"/>
  <c r="BM163" i="2"/>
  <c r="BL163" i="2"/>
  <c r="BK163" i="2"/>
  <c r="BP163" i="2"/>
  <c r="N163" i="2"/>
  <c r="BN153" i="2"/>
  <c r="BM153" i="2"/>
  <c r="BL153" i="2"/>
  <c r="BK153" i="2"/>
  <c r="BP153" i="2"/>
  <c r="N153" i="2"/>
  <c r="BJ153" i="2" s="1"/>
  <c r="BN152" i="2"/>
  <c r="BM152" i="2"/>
  <c r="BL152" i="2"/>
  <c r="BK152" i="2"/>
  <c r="BP152" i="2"/>
  <c r="N152" i="2"/>
  <c r="BJ152" i="2" s="1"/>
  <c r="BN151" i="2"/>
  <c r="BM151" i="2"/>
  <c r="BL151" i="2"/>
  <c r="BK151" i="2"/>
  <c r="BP151" i="2"/>
  <c r="N151" i="2"/>
  <c r="BJ151" i="2" s="1"/>
  <c r="BN150" i="2"/>
  <c r="BM150" i="2"/>
  <c r="BL150" i="2"/>
  <c r="BK150" i="2"/>
  <c r="BP150" i="2"/>
  <c r="N150" i="2"/>
  <c r="BN148" i="2"/>
  <c r="BM148" i="2"/>
  <c r="BL148" i="2"/>
  <c r="BK148" i="2"/>
  <c r="BP148" i="2"/>
  <c r="BP147" i="2" s="1"/>
  <c r="N148" i="2"/>
  <c r="BN145" i="2"/>
  <c r="BM145" i="2"/>
  <c r="BL145" i="2"/>
  <c r="BK145" i="2"/>
  <c r="BP145" i="2"/>
  <c r="N145" i="2"/>
  <c r="BJ145" i="2" s="1"/>
  <c r="BN144" i="2"/>
  <c r="BM144" i="2"/>
  <c r="BL144" i="2"/>
  <c r="BK144" i="2"/>
  <c r="BP144" i="2"/>
  <c r="N144" i="2"/>
  <c r="BJ144" i="2" s="1"/>
  <c r="BN143" i="2"/>
  <c r="BM143" i="2"/>
  <c r="BL143" i="2"/>
  <c r="BK143" i="2"/>
  <c r="BP143" i="2"/>
  <c r="N143" i="2"/>
  <c r="BN141" i="2"/>
  <c r="BM141" i="2"/>
  <c r="BL141" i="2"/>
  <c r="BK141" i="2"/>
  <c r="BP141" i="2"/>
  <c r="BP140" i="2" s="1"/>
  <c r="N141" i="2"/>
  <c r="BN139" i="2"/>
  <c r="BM139" i="2"/>
  <c r="BL139" i="2"/>
  <c r="BK139" i="2"/>
  <c r="BP139" i="2"/>
  <c r="N139" i="2"/>
  <c r="BJ139" i="2" s="1"/>
  <c r="BN138" i="2"/>
  <c r="BM138" i="2"/>
  <c r="BL138" i="2"/>
  <c r="BK138" i="2"/>
  <c r="BP138" i="2"/>
  <c r="N138" i="2"/>
  <c r="BJ138" i="2" s="1"/>
  <c r="BN137" i="2"/>
  <c r="BM137" i="2"/>
  <c r="BL137" i="2"/>
  <c r="BK137" i="2"/>
  <c r="BP137" i="2"/>
  <c r="N137" i="2"/>
  <c r="BJ137" i="2" s="1"/>
  <c r="BN136" i="2"/>
  <c r="BM136" i="2"/>
  <c r="BL136" i="2"/>
  <c r="BK136" i="2"/>
  <c r="BP136" i="2"/>
  <c r="N136" i="2"/>
  <c r="BJ136" i="2" s="1"/>
  <c r="BN135" i="2"/>
  <c r="BM135" i="2"/>
  <c r="BL135" i="2"/>
  <c r="BK135" i="2"/>
  <c r="BP135" i="2"/>
  <c r="N135" i="2"/>
  <c r="BJ135" i="2" s="1"/>
  <c r="BN134" i="2"/>
  <c r="BM134" i="2"/>
  <c r="BL134" i="2"/>
  <c r="BK134" i="2"/>
  <c r="BP134" i="2"/>
  <c r="N134" i="2"/>
  <c r="M128" i="2"/>
  <c r="M127" i="2"/>
  <c r="F127" i="2"/>
  <c r="F125" i="2"/>
  <c r="F123" i="2"/>
  <c r="M28" i="2"/>
  <c r="M84" i="2"/>
  <c r="M83" i="2"/>
  <c r="F83" i="2"/>
  <c r="F81" i="2"/>
  <c r="F79" i="2"/>
  <c r="F84" i="2"/>
  <c r="M81" i="2"/>
  <c r="F6" i="2"/>
  <c r="F122" i="2" s="1"/>
  <c r="AK27" i="1"/>
  <c r="AM83" i="1"/>
  <c r="L83" i="1"/>
  <c r="AM82" i="1"/>
  <c r="L82" i="1"/>
  <c r="L80" i="1"/>
  <c r="L78" i="1"/>
  <c r="L77" i="1"/>
  <c r="N243" i="2" l="1"/>
  <c r="N162" i="2"/>
  <c r="N98" i="2"/>
  <c r="N142" i="2"/>
  <c r="BJ215" i="2"/>
  <c r="N141" i="5"/>
  <c r="BE142" i="5"/>
  <c r="BE138" i="5"/>
  <c r="N137" i="5"/>
  <c r="BK134" i="5"/>
  <c r="BE136" i="5"/>
  <c r="N135" i="5"/>
  <c r="BE140" i="5"/>
  <c r="N139" i="5"/>
  <c r="N167" i="4"/>
  <c r="N99" i="4" s="1"/>
  <c r="N145" i="4"/>
  <c r="N97" i="4" s="1"/>
  <c r="N150" i="4"/>
  <c r="N98" i="4" s="1"/>
  <c r="N141" i="4"/>
  <c r="N96" i="4" s="1"/>
  <c r="N129" i="4"/>
  <c r="N92" i="4" s="1"/>
  <c r="N138" i="4"/>
  <c r="N94" i="4" s="1"/>
  <c r="N124" i="4"/>
  <c r="N90" i="4" s="1"/>
  <c r="N127" i="4"/>
  <c r="N91" i="4" s="1"/>
  <c r="N147" i="3"/>
  <c r="N131" i="3"/>
  <c r="N202" i="3"/>
  <c r="N103" i="3" s="1"/>
  <c r="N192" i="3"/>
  <c r="N134" i="3"/>
  <c r="N92" i="3" s="1"/>
  <c r="N136" i="3"/>
  <c r="N157" i="3"/>
  <c r="N170" i="3"/>
  <c r="N184" i="3"/>
  <c r="N100" i="3" s="1"/>
  <c r="N186" i="3"/>
  <c r="N127" i="3"/>
  <c r="N144" i="3"/>
  <c r="N94" i="3" s="1"/>
  <c r="N177" i="3"/>
  <c r="H35" i="4"/>
  <c r="F113" i="4"/>
  <c r="F6" i="5"/>
  <c r="M116" i="4"/>
  <c r="BJ209" i="2"/>
  <c r="N208" i="2"/>
  <c r="BJ218" i="2"/>
  <c r="N217" i="2"/>
  <c r="BJ246" i="2"/>
  <c r="N149" i="2"/>
  <c r="BJ196" i="2"/>
  <c r="N195" i="2"/>
  <c r="BJ222" i="2"/>
  <c r="N221" i="2"/>
  <c r="BJ230" i="2"/>
  <c r="N229" i="2"/>
  <c r="N248" i="2"/>
  <c r="BJ255" i="2"/>
  <c r="N254" i="2"/>
  <c r="M81" i="4"/>
  <c r="F78" i="4"/>
  <c r="BJ134" i="2"/>
  <c r="N133" i="2"/>
  <c r="BJ143" i="2"/>
  <c r="BJ141" i="2"/>
  <c r="N140" i="2"/>
  <c r="N91" i="2" s="1"/>
  <c r="BJ163" i="2"/>
  <c r="BJ150" i="2"/>
  <c r="BJ148" i="2"/>
  <c r="N147" i="2"/>
  <c r="N93" i="2" s="1"/>
  <c r="F84" i="4"/>
  <c r="BP217" i="2"/>
  <c r="F116" i="3"/>
  <c r="M81" i="3"/>
  <c r="F84" i="3"/>
  <c r="H34" i="3"/>
  <c r="M33" i="2"/>
  <c r="BP195" i="2"/>
  <c r="BP254" i="2"/>
  <c r="BP133" i="2"/>
  <c r="BP142" i="2"/>
  <c r="M125" i="2"/>
  <c r="F128" i="2"/>
  <c r="H33" i="2"/>
  <c r="BP149" i="2"/>
  <c r="BP162" i="2"/>
  <c r="BP243" i="2"/>
  <c r="BP248" i="2"/>
  <c r="F78" i="2"/>
  <c r="H35" i="2"/>
  <c r="H34" i="2"/>
  <c r="BP208" i="2"/>
  <c r="BP229" i="2"/>
  <c r="BP221" i="2"/>
  <c r="H35" i="3"/>
  <c r="H34" i="4"/>
  <c r="N89" i="4" l="1"/>
  <c r="N95" i="4"/>
  <c r="N216" i="2"/>
  <c r="N91" i="3"/>
  <c r="N134" i="5"/>
  <c r="N132" i="2"/>
  <c r="N103" i="2"/>
  <c r="N104" i="2"/>
  <c r="N140" i="4"/>
  <c r="N123" i="4"/>
  <c r="N98" i="3"/>
  <c r="N97" i="3"/>
  <c r="N93" i="3"/>
  <c r="N102" i="3"/>
  <c r="N101" i="3"/>
  <c r="N126" i="3"/>
  <c r="N146" i="3"/>
  <c r="N99" i="3"/>
  <c r="N105" i="2"/>
  <c r="N102" i="2"/>
  <c r="N100" i="2"/>
  <c r="N97" i="2"/>
  <c r="M105" i="5"/>
  <c r="M80" i="5"/>
  <c r="N96" i="2"/>
  <c r="F102" i="5"/>
  <c r="F77" i="5"/>
  <c r="W34" i="1"/>
  <c r="W33" i="1"/>
  <c r="N92" i="2"/>
  <c r="N101" i="2"/>
  <c r="N95" i="2"/>
  <c r="N94" i="2"/>
  <c r="N90" i="2"/>
  <c r="BP132" i="2"/>
  <c r="N90" i="3"/>
  <c r="N96" i="3"/>
  <c r="BP216" i="2"/>
  <c r="N204" i="3" l="1"/>
  <c r="L213" i="3" s="1"/>
  <c r="N91" i="5"/>
  <c r="N111" i="5"/>
  <c r="N87" i="5" s="1"/>
  <c r="N99" i="2"/>
  <c r="N260" i="2"/>
  <c r="N170" i="4"/>
  <c r="L175" i="4" s="1"/>
  <c r="N95" i="3"/>
  <c r="N89" i="2"/>
  <c r="N89" i="3"/>
  <c r="BP131" i="2"/>
  <c r="L177" i="4" l="1"/>
  <c r="N177" i="4" s="1"/>
  <c r="L207" i="3"/>
  <c r="N207" i="3" s="1"/>
  <c r="L209" i="3"/>
  <c r="L211" i="3"/>
  <c r="N211" i="3" s="1"/>
  <c r="L179" i="4"/>
  <c r="N179" i="4" s="1"/>
  <c r="L173" i="4"/>
  <c r="N173" i="4" s="1"/>
  <c r="N209" i="3"/>
  <c r="N213" i="3"/>
  <c r="M27" i="5"/>
  <c r="L94" i="5"/>
  <c r="L263" i="2"/>
  <c r="L269" i="2"/>
  <c r="L267" i="2"/>
  <c r="L265" i="2"/>
  <c r="N175" i="4"/>
  <c r="N208" i="3" l="1"/>
  <c r="N210" i="3"/>
  <c r="N206" i="3"/>
  <c r="M29" i="5"/>
  <c r="H31" i="5" s="1"/>
  <c r="AG91" i="1"/>
  <c r="AN91" i="1" s="1"/>
  <c r="H36" i="3"/>
  <c r="N212" i="3"/>
  <c r="BN265" i="2"/>
  <c r="BN264" i="2" s="1"/>
  <c r="N265" i="2"/>
  <c r="BN267" i="2"/>
  <c r="BN266" i="2" s="1"/>
  <c r="N267" i="2"/>
  <c r="BN269" i="2"/>
  <c r="BN268" i="2" s="1"/>
  <c r="N269" i="2"/>
  <c r="BN263" i="2"/>
  <c r="BN262" i="2" s="1"/>
  <c r="N263" i="2"/>
  <c r="H36" i="4"/>
  <c r="N178" i="4"/>
  <c r="N174" i="4"/>
  <c r="N176" i="4"/>
  <c r="N172" i="4"/>
  <c r="M31" i="5" l="1"/>
  <c r="L37" i="5" s="1"/>
  <c r="N205" i="3"/>
  <c r="BH263" i="2"/>
  <c r="N262" i="2"/>
  <c r="BN261" i="2"/>
  <c r="H36" i="2" s="1"/>
  <c r="W35" i="1" s="1"/>
  <c r="BH267" i="2"/>
  <c r="N266" i="2"/>
  <c r="N268" i="2"/>
  <c r="BH269" i="2"/>
  <c r="N264" i="2"/>
  <c r="BH265" i="2"/>
  <c r="N171" i="4"/>
  <c r="N100" i="4" l="1"/>
  <c r="N122" i="4"/>
  <c r="N88" i="4" s="1"/>
  <c r="N104" i="3"/>
  <c r="N125" i="3"/>
  <c r="N88" i="3" s="1"/>
  <c r="N261" i="2"/>
  <c r="L108" i="3" l="1"/>
  <c r="M27" i="3"/>
  <c r="L105" i="4"/>
  <c r="M27" i="4"/>
  <c r="M30" i="4" s="1"/>
  <c r="N106" i="2"/>
  <c r="N131" i="2"/>
  <c r="N88" i="2" s="1"/>
  <c r="H32" i="4" l="1"/>
  <c r="AG90" i="1"/>
  <c r="AN90" i="1" s="1"/>
  <c r="H32" i="3"/>
  <c r="M30" i="3"/>
  <c r="AG89" i="1" s="1"/>
  <c r="AN89" i="1" s="1"/>
  <c r="M27" i="2"/>
  <c r="M30" i="2" s="1"/>
  <c r="L114" i="2"/>
  <c r="M32" i="3" l="1"/>
  <c r="M32" i="4"/>
  <c r="H32" i="2"/>
  <c r="AG88" i="1"/>
  <c r="L38" i="4" l="1"/>
  <c r="L38" i="3"/>
  <c r="AG87" i="1"/>
  <c r="AN88" i="1"/>
  <c r="AN87" i="1" s="1"/>
  <c r="AN95" i="1" s="1"/>
  <c r="M32" i="2"/>
  <c r="L38" i="2" s="1"/>
  <c r="AK26" i="1" l="1"/>
  <c r="AG95" i="1"/>
  <c r="AK29" i="1" l="1"/>
  <c r="W31" i="1" s="1"/>
  <c r="AK31" i="1" s="1"/>
  <c r="AK37" i="1" l="1"/>
</calcChain>
</file>

<file path=xl/sharedStrings.xml><?xml version="1.0" encoding="utf-8"?>
<sst xmlns="http://schemas.openxmlformats.org/spreadsheetml/2006/main" count="2759" uniqueCount="670">
  <si>
    <t>2012</t>
  </si>
  <si>
    <t>List obsahuje:</t>
  </si>
  <si>
    <t>1) Souhrnný list stavby</t>
  </si>
  <si>
    <t>2) Rekapitulace objektů</t>
  </si>
  <si>
    <t/>
  </si>
  <si>
    <t>False</t>
  </si>
  <si>
    <t>optimalizováno pro tisk sestav ve formátu A4 - na výšku</t>
  </si>
  <si>
    <t>&gt;&gt;  skryté sloupce  &lt;&lt;</t>
  </si>
  <si>
    <t>SOUHRNNÝ LIST STAVBY</t>
  </si>
  <si>
    <t>v ---  níže se nacházejí doplnkové a pomocné údaje k sestavám  --- v</t>
  </si>
  <si>
    <t>Kód:</t>
  </si>
  <si>
    <t>MS-Srdiicko-v-Praze-</t>
  </si>
  <si>
    <t>Stavba:</t>
  </si>
  <si>
    <t>Revitalizace objektu MŠ-Srdíčko v Praze 12</t>
  </si>
  <si>
    <t>JKSO:</t>
  </si>
  <si>
    <t>CC-CZ:</t>
  </si>
  <si>
    <t>Místo:</t>
  </si>
  <si>
    <t>Levského 3203/19, Praha 12 - Modřany</t>
  </si>
  <si>
    <t>Datum:</t>
  </si>
  <si>
    <t>Objednatel:</t>
  </si>
  <si>
    <t>IČ:</t>
  </si>
  <si>
    <t>Městská část Praha 12-Úřad městské části Praha 12</t>
  </si>
  <si>
    <t>DIČ:</t>
  </si>
  <si>
    <t>Zhotovitel:</t>
  </si>
  <si>
    <t>Projektant:</t>
  </si>
  <si>
    <t>Projektová kancelář ATLAS s.r.o., Praha Nusle,Čikl</t>
  </si>
  <si>
    <t>Zpracovatel:</t>
  </si>
  <si>
    <t>Poznámka:</t>
  </si>
  <si>
    <t>Náklady z rozpočtů</t>
  </si>
  <si>
    <t>Ostatní náklady ze souhrnného listu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</si>
  <si>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</si>
  <si>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</si>
  <si>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</si>
  <si>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</si>
  <si>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</si>
  <si>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</si>
  <si>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</si>
  <si>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</si>
  <si>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</si>
  <si>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</si>
  <si>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</si>
  <si>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</si>
  <si>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</si>
  <si>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</si>
  <si>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</si>
  <si>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</si>
  <si>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</si>
  <si>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</t>
  </si>
  <si>
    <t>Kód</t>
  </si>
  <si>
    <t>Objekt</t>
  </si>
  <si>
    <t>Cena bez DPH [CZK]</t>
  </si>
  <si>
    <t>Cena s DPH [CZK]</t>
  </si>
  <si>
    <t>1) Náklady z rozpočtů</t>
  </si>
  <si>
    <t>D</t>
  </si>
  <si>
    <t>0</t>
  </si>
  <si>
    <t>/</t>
  </si>
  <si>
    <t>1</t>
  </si>
  <si>
    <t>{a9e2903a-c3fe-40de-a672-b72e9b46f7a3}</t>
  </si>
  <si>
    <t>obj. B</t>
  </si>
  <si>
    <t>obj. - C</t>
  </si>
  <si>
    <t>obj. C -VZT s rekuperací vzduchu</t>
  </si>
  <si>
    <t>Celkové náklady za stavbu 1) + 2)</t>
  </si>
  <si>
    <t>1) Krycí list rozpočtu</t>
  </si>
  <si>
    <t>2) Rekapitulace rozpočtu</t>
  </si>
  <si>
    <t>3) Rozpočet</t>
  </si>
  <si>
    <t>Zpět na list:</t>
  </si>
  <si>
    <t>Rekapitulace stavby</t>
  </si>
  <si>
    <t>2</t>
  </si>
  <si>
    <t>KRYCÍ LIST ROZPOČTU</t>
  </si>
  <si>
    <t>Objekt:</t>
  </si>
  <si>
    <t>Městská část Praha 12</t>
  </si>
  <si>
    <t>Projektová kancelář ATLAS  s.r.o.</t>
  </si>
  <si>
    <t>Náklady z rozpočtu</t>
  </si>
  <si>
    <t>Ostatní náklady</t>
  </si>
  <si>
    <t>REKAPITULACE ROZPOČTU</t>
  </si>
  <si>
    <t>Kód - Popis</t>
  </si>
  <si>
    <t>Cena celkem [CZK]</t>
  </si>
  <si>
    <t>1) Náklady z rozpočtu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</si>
  <si>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</si>
  <si>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</si>
  <si>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</si>
  <si>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</si>
  <si>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</si>
  <si>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</si>
  <si>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</si>
  <si>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</si>
  <si>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</si>
  <si>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</si>
  <si>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</si>
  <si>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</si>
  <si>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</si>
  <si>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</si>
  <si>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</si>
  <si>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</si>
  <si>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</si>
  <si>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</si>
  <si>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</si>
  <si>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</si>
  <si>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</si>
  <si>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</si>
  <si>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</si>
  <si>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ROZPOČET</t>
  </si>
  <si>
    <t>PČ</t>
  </si>
  <si>
    <t>Typ</t>
  </si>
  <si>
    <t>Popis</t>
  </si>
  <si>
    <t>MJ</t>
  </si>
  <si>
    <t>Množství</t>
  </si>
  <si>
    <t>J.cena [CZK]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</si>
  <si>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</si>
  <si>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</si>
  <si>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</si>
  <si>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</si>
  <si>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</si>
  <si>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</si>
  <si>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</si>
  <si>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ROZPOCET</t>
  </si>
  <si>
    <t>K</t>
  </si>
  <si>
    <t>113107042</t>
  </si>
  <si>
    <t>Odstranění podkladu živičných tl 100 mm při překopech ručně</t>
  </si>
  <si>
    <t>m2</t>
  </si>
  <si>
    <t>4</t>
  </si>
  <si>
    <t>-1144258408</t>
  </si>
  <si>
    <t>Hloubení rýh š do 2000 mm v hornině tř. 3 objemu do 1000 m3</t>
  </si>
  <si>
    <t>m3</t>
  </si>
  <si>
    <t>466709280</t>
  </si>
  <si>
    <t>3</t>
  </si>
  <si>
    <t>1149393755</t>
  </si>
  <si>
    <t>5</t>
  </si>
  <si>
    <t>Nakládání výkopku z hornin tř. 1 až 4 do 100 m3</t>
  </si>
  <si>
    <t>-201136427</t>
  </si>
  <si>
    <t>6</t>
  </si>
  <si>
    <t>1376669761</t>
  </si>
  <si>
    <t>7</t>
  </si>
  <si>
    <t>1522337203</t>
  </si>
  <si>
    <t>8</t>
  </si>
  <si>
    <t>m</t>
  </si>
  <si>
    <t>-329817364</t>
  </si>
  <si>
    <t>D + M budek pro netopýry do zateplené fasády</t>
  </si>
  <si>
    <t>ks</t>
  </si>
  <si>
    <t>1291296941</t>
  </si>
  <si>
    <t>D + M budek pro rorýse do zateplené fasády</t>
  </si>
  <si>
    <t>114597552</t>
  </si>
  <si>
    <t>kus</t>
  </si>
  <si>
    <t>867064316</t>
  </si>
  <si>
    <t>452311131</t>
  </si>
  <si>
    <t>Podkladní desky z betonu prostého tř. C 12/15 otevřený výkop</t>
  </si>
  <si>
    <t>850587896</t>
  </si>
  <si>
    <t>564671111</t>
  </si>
  <si>
    <t>Podklad z kameniva hrubého drceného vel. 0 - 63 mm tl 250 mm</t>
  </si>
  <si>
    <t>656437933</t>
  </si>
  <si>
    <t>564750011</t>
  </si>
  <si>
    <t>Podklad z kameniva hrubého drceného vel. 8-16 mm tl 150 mm</t>
  </si>
  <si>
    <t>1462095869</t>
  </si>
  <si>
    <t>564861111</t>
  </si>
  <si>
    <t>Podklad ze štěrkodrtě ŠD tl 200 mm</t>
  </si>
  <si>
    <t>-1009148074</t>
  </si>
  <si>
    <t>16</t>
  </si>
  <si>
    <t>-1283462596</t>
  </si>
  <si>
    <t>577144111</t>
  </si>
  <si>
    <t>Asfaltový beton vrstva obrusná ACO 11 (ABS) tř. I tl 50 mm š do 3 m z nemodifikovaného asfaltu</t>
  </si>
  <si>
    <t>1858474640</t>
  </si>
  <si>
    <t>621221111</t>
  </si>
  <si>
    <t>Montáž kontaktního zateplení vnějších podhledů z minerální vlny s kolmou orientací tl do 80 mm</t>
  </si>
  <si>
    <t>853374932</t>
  </si>
  <si>
    <t>622221111</t>
  </si>
  <si>
    <t>964406189</t>
  </si>
  <si>
    <t>M</t>
  </si>
  <si>
    <t>-149907891</t>
  </si>
  <si>
    <t>-993179646</t>
  </si>
  <si>
    <t>622211031</t>
  </si>
  <si>
    <t>-881979006</t>
  </si>
  <si>
    <t>622212001</t>
  </si>
  <si>
    <t>Montáž kontaktního zateplení vnějšího ostění hl. špalety do 200 mm z polystyrenu tl do 40 mm</t>
  </si>
  <si>
    <t>1843567975</t>
  </si>
  <si>
    <t>797853602</t>
  </si>
  <si>
    <t>28375932</t>
  </si>
  <si>
    <t>1598559142</t>
  </si>
  <si>
    <t>622252001</t>
  </si>
  <si>
    <t>Montáž ostatních lišt kontaktního zateplení</t>
  </si>
  <si>
    <t>-915329853</t>
  </si>
  <si>
    <t>59051486</t>
  </si>
  <si>
    <t>lišta rohová PVC 10/15cm s tkaninou</t>
  </si>
  <si>
    <t>-153374011</t>
  </si>
  <si>
    <t>59051502</t>
  </si>
  <si>
    <t>1590230034</t>
  </si>
  <si>
    <t>32</t>
  </si>
  <si>
    <t>59051516</t>
  </si>
  <si>
    <t>623974693</t>
  </si>
  <si>
    <t>1228578635</t>
  </si>
  <si>
    <t>1571797704</t>
  </si>
  <si>
    <t>624631213</t>
  </si>
  <si>
    <t>Tmelení akrylátovým tmelem spár prefabrikovaných dílců š do 25 mm včetně penetrace</t>
  </si>
  <si>
    <t>-631774762</t>
  </si>
  <si>
    <t>629135102</t>
  </si>
  <si>
    <t xml:space="preserve">Vyrovnávací vrstva pod klempířské prvky z MC š do 300 mm, </t>
  </si>
  <si>
    <t>-740936049</t>
  </si>
  <si>
    <t>629991011</t>
  </si>
  <si>
    <t>Zakrytí výplní otvorů a svislých ploch fólií přilepenou lepící páskou</t>
  </si>
  <si>
    <t>1213129139</t>
  </si>
  <si>
    <t>629995101</t>
  </si>
  <si>
    <t>Očištění vnějších ploch tlakovou vodou</t>
  </si>
  <si>
    <t>-2108105871</t>
  </si>
  <si>
    <t>637211112</t>
  </si>
  <si>
    <t>Okapový chodník z betonových dlaždic tl 60 mm na MC 10</t>
  </si>
  <si>
    <t>1372486606</t>
  </si>
  <si>
    <t>637211122</t>
  </si>
  <si>
    <t>Okapový chodník z betonových dlaždic tl 60 mm kladených do písku se zalitím spár MC</t>
  </si>
  <si>
    <t>-379653116</t>
  </si>
  <si>
    <t>637311131</t>
  </si>
  <si>
    <t>Okapový chodník z betonových záhonových obrubníků lože beton</t>
  </si>
  <si>
    <t>1906212485</t>
  </si>
  <si>
    <t>919724111</t>
  </si>
  <si>
    <t>Drenážní geosyntetikum nelaminované</t>
  </si>
  <si>
    <t>1240458237</t>
  </si>
  <si>
    <t>941111121</t>
  </si>
  <si>
    <t>Montáž lešení řadového trubkového lehkého s podlahami zatížení do 200 kg/m2 š do 1,2 m v do 10 m</t>
  </si>
  <si>
    <t>-1321977015</t>
  </si>
  <si>
    <t>941111221</t>
  </si>
  <si>
    <t>Příplatek k lešení řadovému trubkovému lehkému s podlahami š 1,2 m v 10 m za první a ZKD den použití</t>
  </si>
  <si>
    <t>761240510</t>
  </si>
  <si>
    <t>941111821</t>
  </si>
  <si>
    <t>Demontáž lešení řadového trubkového lehkého s podlahami zatížení do 200 kg/m2 š do 1,2 m v do 10 m</t>
  </si>
  <si>
    <t>-1190179928</t>
  </si>
  <si>
    <t>944511111</t>
  </si>
  <si>
    <t>Montáž ochranné sítě z textilie z umělých vláken</t>
  </si>
  <si>
    <t>-177498111</t>
  </si>
  <si>
    <t>944511211</t>
  </si>
  <si>
    <t>Příplatek k ochranné síti za první a ZKD den použití</t>
  </si>
  <si>
    <t>1614538113</t>
  </si>
  <si>
    <t>944511811</t>
  </si>
  <si>
    <t>Demontáž ochranné sítě z textilie z umělých vláken</t>
  </si>
  <si>
    <t>-1058503751</t>
  </si>
  <si>
    <t>-651869190</t>
  </si>
  <si>
    <t>967031733</t>
  </si>
  <si>
    <t>Přisekání plošné zdiva z cihel pálených na MV nebo MVC tl do 150 mm</t>
  </si>
  <si>
    <t>684266110</t>
  </si>
  <si>
    <t>965081353</t>
  </si>
  <si>
    <t>Bourání podlah z dlaždic betonových, tl přes 40 mm plochy přes 1 m2</t>
  </si>
  <si>
    <t>1373497574</t>
  </si>
  <si>
    <t>985131311</t>
  </si>
  <si>
    <t>Ruční dočištění ploch stěn,  ocelových kartáči</t>
  </si>
  <si>
    <t>-2043763043</t>
  </si>
  <si>
    <t>985312111</t>
  </si>
  <si>
    <t>Stěrka k vyrovnání betonových ploch stěn tl 2 mm</t>
  </si>
  <si>
    <t>-1077647661</t>
  </si>
  <si>
    <t>997013112</t>
  </si>
  <si>
    <t>Vnitrostaveništní doprava suti a vybouraných hmot pro budovy v do 9 m s použitím mechanizace</t>
  </si>
  <si>
    <t>t</t>
  </si>
  <si>
    <t>1949780670</t>
  </si>
  <si>
    <t>997013501</t>
  </si>
  <si>
    <t>Odvoz suti a vybouraných hmot na skládku nebo meziskládku do 1 km se složením</t>
  </si>
  <si>
    <t>1533178952</t>
  </si>
  <si>
    <t>998017002</t>
  </si>
  <si>
    <t>Přesun hmot s omezením mechanizace pro budovy v do 12 m</t>
  </si>
  <si>
    <t>1745336640</t>
  </si>
  <si>
    <t>-980675821</t>
  </si>
  <si>
    <t>711132101</t>
  </si>
  <si>
    <t>Provedení izolace proti zemní vlhkosti pásy na sucho svislé tkaninou, včetně dodání geomříže dvouosé</t>
  </si>
  <si>
    <t>-982448979</t>
  </si>
  <si>
    <t>998711202</t>
  </si>
  <si>
    <t>Přesun hmot procentní pro izolace proti vodě, vlhkosti a plynům v objektech v do 12 m</t>
  </si>
  <si>
    <t>%</t>
  </si>
  <si>
    <t>1226118001</t>
  </si>
  <si>
    <t>713141131</t>
  </si>
  <si>
    <t>Montáž izolace tepelné střech plochých lepené za studena 1 vrstva rohoží, pásů, dílců, desek</t>
  </si>
  <si>
    <t>-1934523377</t>
  </si>
  <si>
    <t>28376140</t>
  </si>
  <si>
    <t>klín izolační z pěnového polystyrenu EPS 70 spádový,včetně armované hydroizolace</t>
  </si>
  <si>
    <t>797145780</t>
  </si>
  <si>
    <t>713141331</t>
  </si>
  <si>
    <t>Montáž izolace tepelné střech plochých lepené za studena zplna, spádová vrstva</t>
  </si>
  <si>
    <t>226678967</t>
  </si>
  <si>
    <t>28376141</t>
  </si>
  <si>
    <t>klín izolační z pěnového polystyrenu EPS 100 spádový</t>
  </si>
  <si>
    <t>-597514349</t>
  </si>
  <si>
    <t>713191114</t>
  </si>
  <si>
    <t>Montáž izolace tepelné podlah, stropů vrchem nebo střech překrytí pásem asfaltovým položeným volně</t>
  </si>
  <si>
    <t>1369224345</t>
  </si>
  <si>
    <t>69311199</t>
  </si>
  <si>
    <t>geotextilie netkaná PES+PP 300 g/m2</t>
  </si>
  <si>
    <t>883140052</t>
  </si>
  <si>
    <t>998713202</t>
  </si>
  <si>
    <t>Přesun hmot procentní pro izolace tepelné v objektech v do 12 m</t>
  </si>
  <si>
    <t>566459452</t>
  </si>
  <si>
    <t>764001821</t>
  </si>
  <si>
    <t>Demontáž krytiny ze svitků nebo tabulí do suti</t>
  </si>
  <si>
    <t>883238914</t>
  </si>
  <si>
    <t>764002841</t>
  </si>
  <si>
    <t>Demontáž oplechování horních ploch zdí a nadezdívek do suti</t>
  </si>
  <si>
    <t>307550477</t>
  </si>
  <si>
    <t>764002851</t>
  </si>
  <si>
    <t>Demontáž oplechování parapetů do suti</t>
  </si>
  <si>
    <t>1924060082</t>
  </si>
  <si>
    <t>764002871</t>
  </si>
  <si>
    <t>Demontáž lemování zdí do suti</t>
  </si>
  <si>
    <t>-1107451526</t>
  </si>
  <si>
    <t>764004801</t>
  </si>
  <si>
    <t>Demontáž podokapního žlabu do suti</t>
  </si>
  <si>
    <t>-1489654037</t>
  </si>
  <si>
    <t>764004831</t>
  </si>
  <si>
    <t>Demontáž mezistřešního nebo zaatikového žlabu do suti</t>
  </si>
  <si>
    <t>-1502197271</t>
  </si>
  <si>
    <t>764121431</t>
  </si>
  <si>
    <t>1132801748</t>
  </si>
  <si>
    <t>764225407</t>
  </si>
  <si>
    <t>1886889436</t>
  </si>
  <si>
    <t>764226443</t>
  </si>
  <si>
    <t>453610933</t>
  </si>
  <si>
    <t>764521403</t>
  </si>
  <si>
    <t>Žlab podokapní půlkruhový z Al plechu rš 250 mm</t>
  </si>
  <si>
    <t>-1699064137</t>
  </si>
  <si>
    <t>764525411</t>
  </si>
  <si>
    <t>1469700395</t>
  </si>
  <si>
    <t>764528421</t>
  </si>
  <si>
    <t>-280797073</t>
  </si>
  <si>
    <t>998764202</t>
  </si>
  <si>
    <t>Přesun hmot procentní pro konstrukce klempířské v objektech v do 12 m</t>
  </si>
  <si>
    <t>2058619892</t>
  </si>
  <si>
    <t>766622135</t>
  </si>
  <si>
    <t>-1481389391</t>
  </si>
  <si>
    <t>998766202</t>
  </si>
  <si>
    <t>Přesun hmot procentní pro konstrukce truhlářské v objektech v do 12 m</t>
  </si>
  <si>
    <t>-1980234399</t>
  </si>
  <si>
    <t>-2030675479</t>
  </si>
  <si>
    <t>-1262589058</t>
  </si>
  <si>
    <t>1298674629</t>
  </si>
  <si>
    <t>998767202</t>
  </si>
  <si>
    <t>Přesun hmot procentní pro zámečnické konstrukce v objektech v do 12 m</t>
  </si>
  <si>
    <t>1730545893</t>
  </si>
  <si>
    <t>771571810</t>
  </si>
  <si>
    <t>Demontáž podlah z dlaždic keramických kladených do malty</t>
  </si>
  <si>
    <t>-678525154</t>
  </si>
  <si>
    <t>Montáž podlah keramických režných hladkých lepených rychletuhnoucím flexi lepidlem do 12 ks/ m2</t>
  </si>
  <si>
    <t>-908900216</t>
  </si>
  <si>
    <t>-1490381044</t>
  </si>
  <si>
    <t>-2047422411</t>
  </si>
  <si>
    <t>998771202</t>
  </si>
  <si>
    <t>Přesun hmot procentní pro podlahy z dlaždic v objektech v do 12 m</t>
  </si>
  <si>
    <t>288921905</t>
  </si>
  <si>
    <t>031002000</t>
  </si>
  <si>
    <t>Související práce pro zařízení staveniště</t>
  </si>
  <si>
    <t>1024</t>
  </si>
  <si>
    <t>1596246902</t>
  </si>
  <si>
    <t>045002000</t>
  </si>
  <si>
    <t>Kompletační a koordinační činnost</t>
  </si>
  <si>
    <t>-1893174746</t>
  </si>
  <si>
    <t>062002000</t>
  </si>
  <si>
    <t>Ztížené dopravní podmínky</t>
  </si>
  <si>
    <t>1047792986</t>
  </si>
  <si>
    <t>071002000</t>
  </si>
  <si>
    <t>Provoz investora, třetích osob</t>
  </si>
  <si>
    <t>-73794319</t>
  </si>
  <si>
    <t xml:space="preserve">    712 - Povlakové krytiny</t>
  </si>
  <si>
    <t xml:space="preserve">    721 - Zdravotechnika - vnitřní kanalizace</t>
  </si>
  <si>
    <t xml:space="preserve">    741 - Elektroinstalace - silnoproud</t>
  </si>
  <si>
    <t xml:space="preserve">    751 - Vzduchotechnika</t>
  </si>
  <si>
    <t xml:space="preserve">    762 - Konstrukce tesařské</t>
  </si>
  <si>
    <t>417321414</t>
  </si>
  <si>
    <t>Ztužující pásy a věnce ze ŽB tř. C 20/25</t>
  </si>
  <si>
    <t>417351115</t>
  </si>
  <si>
    <t>Zřízení bednění ztužujících věnců a odbednění</t>
  </si>
  <si>
    <t>417361821</t>
  </si>
  <si>
    <t>Výztuž ztužujících pásů a věnců betonářskou ocelí 10 505</t>
  </si>
  <si>
    <t>Vyrovnávací vrstva pod klempířské prvky z MC š do 300 mm, pod věnec atiky</t>
  </si>
  <si>
    <t>632450131</t>
  </si>
  <si>
    <t>Vyrovnávací cementový potěr tl do 20 mm ze suchých směsí provedený v ploše</t>
  </si>
  <si>
    <t>962052211</t>
  </si>
  <si>
    <t>Bourání zdiva nadzákladového ze ŽB přes 1 m3, atikového panelu</t>
  </si>
  <si>
    <t>997013152</t>
  </si>
  <si>
    <t>-1000928866</t>
  </si>
  <si>
    <t>-181301061</t>
  </si>
  <si>
    <t>712311101</t>
  </si>
  <si>
    <t>Provedení povlakové krytiny střech do 10° pásy NAIP přitavením v plné ploše</t>
  </si>
  <si>
    <t>712361703</t>
  </si>
  <si>
    <t>998712202</t>
  </si>
  <si>
    <t>Přesun hmot procentní pro krytiny povlakové v objektech v do 12 m</t>
  </si>
  <si>
    <t>713140813</t>
  </si>
  <si>
    <t>713141111</t>
  </si>
  <si>
    <t>713141211</t>
  </si>
  <si>
    <t>713191133</t>
  </si>
  <si>
    <t>721171808</t>
  </si>
  <si>
    <t>Demontáž potrubí z PVC do D 114, - ventilační hlavice</t>
  </si>
  <si>
    <t>721210823</t>
  </si>
  <si>
    <t>Demontáž vpustí střešních DN 125</t>
  </si>
  <si>
    <t>721211404</t>
  </si>
  <si>
    <t>Vpusť podlahová s vodorovným odtokem DN 50/75 s přepadovou trubkou, - pojistný přepad, včetně montáže</t>
  </si>
  <si>
    <t>Střešní vtok HL 62/1 polypropylen PP pro ploché střechy svislý odtok DN 110</t>
  </si>
  <si>
    <t>Hlavice ventilační HL 810 polypropylen PP DN 110, včetně úpravy ventilačního potrubí, změna střechy</t>
  </si>
  <si>
    <t>998721202</t>
  </si>
  <si>
    <t>Přesun hmot procentní pro vnitřní kanalizace v objektech v do 12 m</t>
  </si>
  <si>
    <t>741420011</t>
  </si>
  <si>
    <t>751513847</t>
  </si>
  <si>
    <t>Demontáž protidešťové stříšky z plech potrubí s přírubou nebo bez příruby do průřezu 0,035 m2, včetně repase ventilátorů na novou střechu</t>
  </si>
  <si>
    <t>762341811</t>
  </si>
  <si>
    <t>Demontáž bednění střech z prken</t>
  </si>
  <si>
    <t>762344812</t>
  </si>
  <si>
    <t>Demontáž bednění střešních žlabů z fošen</t>
  </si>
  <si>
    <t>762351811</t>
  </si>
  <si>
    <t>Demontáž  konstrukce dvoupl. střechy z hraněného řeziva průřezové plochy do 120 cm2</t>
  </si>
  <si>
    <t>762421027</t>
  </si>
  <si>
    <t>Obložení stropu z desek OSB tl 25 mm nebroušených na pero a drážku šroubovaných</t>
  </si>
  <si>
    <t>998762202</t>
  </si>
  <si>
    <t>Přesun hmot procentní pro kce tesařské v objektech v do 12 m</t>
  </si>
  <si>
    <t>764002823</t>
  </si>
  <si>
    <t>764003801</t>
  </si>
  <si>
    <t>Demontáž lemování trub, konzol, držáků, ventilačních nástavců a jiných kusových prvků do suti</t>
  </si>
  <si>
    <t>764225405</t>
  </si>
  <si>
    <t>764325424</t>
  </si>
  <si>
    <t>Lemování trub, konzol nebo držáků z Al plechu střech s krytinou skládanou průměru do 200 mm</t>
  </si>
  <si>
    <t>767311821</t>
  </si>
  <si>
    <t xml:space="preserve">    763 - Konstrukce suché výstavby</t>
  </si>
  <si>
    <t>310236241</t>
  </si>
  <si>
    <t>Zazdívka otvorů pl do 0,09 m2 ve zdivu nadzákladovém cihlami pálenými tl do 300 mm</t>
  </si>
  <si>
    <t>310237241</t>
  </si>
  <si>
    <t>Zazdívka otvorů pl do 0,25 m2 ve zdivu nadzákladovém cihlami pálenými tl do 300 mm</t>
  </si>
  <si>
    <t>612325222</t>
  </si>
  <si>
    <t>Vápenocementová štuková omítka malých ploch do 0,25 m2 na stěnách</t>
  </si>
  <si>
    <t>971052341</t>
  </si>
  <si>
    <t>Vybourání nebo prorážení otvorů v ŽB příčkách a zdech pl do 0,09 m2 tl do 300 mm</t>
  </si>
  <si>
    <t>998018002</t>
  </si>
  <si>
    <t>Přesun hmot ruční pro budovy v do 12 m</t>
  </si>
  <si>
    <t>713411111</t>
  </si>
  <si>
    <t>998741202</t>
  </si>
  <si>
    <t>Přesun hmot procentní pro silnoproud v objektech v do 12 m</t>
  </si>
  <si>
    <t>751311011</t>
  </si>
  <si>
    <t>751398022</t>
  </si>
  <si>
    <t>751398092</t>
  </si>
  <si>
    <t>751537011</t>
  </si>
  <si>
    <t>Mtž potrubí ohebného neizol z Al laminátové hadice D do 100 mm, kondenzační potrubí od VZT jednotky</t>
  </si>
  <si>
    <t>751572032</t>
  </si>
  <si>
    <t>751611111</t>
  </si>
  <si>
    <t>998751201</t>
  </si>
  <si>
    <t>Přesun hmot procentní pro vzduchotechniku v objektech v do 12 m</t>
  </si>
  <si>
    <t>763122511</t>
  </si>
  <si>
    <t>SDK stěna šachtová tl 65 mm profil UW+2xCW 50 deska 1xDF 15 TI 50 mm 45 kg/m3 EI 30, zákryt VZT, včetně malby</t>
  </si>
  <si>
    <t>998763402</t>
  </si>
  <si>
    <t>Přesun hmot procentní pro sádrokartonové konstrukce v objektech v do 12 m</t>
  </si>
  <si>
    <t>Přístřešek pro popelnice nový dle PD</t>
  </si>
  <si>
    <t xml:space="preserve">Celkové náklady za stavbu </t>
  </si>
  <si>
    <t>Celkové náklady za stavbu</t>
  </si>
  <si>
    <t>kap</t>
  </si>
  <si>
    <t>Speciální opatření při výzkytu azbestu (viz průzkum), včetně IČ HGS</t>
  </si>
  <si>
    <t>obj. A - Zateplení obvodového pláště a stropu</t>
  </si>
  <si>
    <t>{c25d86db-6318-4133-adac-b03b4c461926}</t>
  </si>
  <si>
    <t>obj. D - Stínění (žaluzie)</t>
  </si>
  <si>
    <t>Městská čásť Praha 12, Písková 830/25 Praha 4</t>
  </si>
  <si>
    <t>Projektová kancelář ATLAS s.r.o., Čiklova1706/13 a</t>
  </si>
  <si>
    <t>součet</t>
  </si>
  <si>
    <t>poznámka</t>
  </si>
  <si>
    <t>Uznatelné náklady</t>
  </si>
  <si>
    <t>Neuzn náklady</t>
  </si>
  <si>
    <t xml:space="preserve">    786 - Dokončovací práce - čalounické úpravy</t>
  </si>
  <si>
    <t>741310271</t>
  </si>
  <si>
    <t>Úprava silového rozvaděče</t>
  </si>
  <si>
    <t>U</t>
  </si>
  <si>
    <t>741310272</t>
  </si>
  <si>
    <t>kpl</t>
  </si>
  <si>
    <t>741310401</t>
  </si>
  <si>
    <t>Zapojení el. pohonů předokenních žaluzií a přededveřních</t>
  </si>
  <si>
    <t>741410021</t>
  </si>
  <si>
    <t xml:space="preserve">žaluzie venkovní se servopohonem 900/2400 - Z1 včetně podomítkového boxu, motoru, ovládání  kompletní dodávka dle tab. </t>
  </si>
  <si>
    <t xml:space="preserve">žaluzie venkovní se servopohonem 4100/1500 - Z2 včetně podomítkového boxu, motoru, ovládání  kompletní dodávka dle tab. </t>
  </si>
  <si>
    <t xml:space="preserve">žaluzie venkovní se servopohonem 900/2400 - Z3 včetně viditelného boxu, motoru, ovládání  kompletní dodávka dle tab. </t>
  </si>
  <si>
    <t xml:space="preserve">žaluzie venkovní se servopohonem 5000/1500 - Z5 včetně podomítkového boxu, motoru, ovládání  kompletní dodávka dle tab. </t>
  </si>
  <si>
    <t xml:space="preserve">žaluzie venkovní se servopohonem 2000/1500 - Z6 včetně podomítkového boxu, motoru, ovládání  kompletní dodávka dle tab. </t>
  </si>
  <si>
    <t xml:space="preserve">žaluzie venkovní se servopohonem 2400/1500 - Z7 včetně podomítkového boxu, motoru, ovládání  kompletní dodávka dle tab. </t>
  </si>
  <si>
    <t xml:space="preserve">žaluzie venkovní se servopohonem 1200/1500 - Z8 včetně podomítkového boxu, motoru, ovládání  kompletní dodávka dle tab. </t>
  </si>
  <si>
    <t>deska izolační minerální kontaktních fasád kolmé vlákno λ=0,041 tl 100 mm</t>
  </si>
  <si>
    <t>Montáž kontaktního zateplení vnitřních podhledů z minerální vlny s kolmou orientací tl 100 mm včetně stěrky a vyztužení</t>
  </si>
  <si>
    <t>obj. A</t>
  </si>
  <si>
    <t>obj. B - Zateplení střechy</t>
  </si>
  <si>
    <t>obj. - D</t>
  </si>
  <si>
    <t xml:space="preserve">Dvojnásobná malba bílá stropů v místnostech výšky do 3,80 m, včetně penetrace </t>
  </si>
  <si>
    <t>784171101</t>
  </si>
  <si>
    <t>Zakrytí vnitřních podlah, oken včetně pozdějšího odkrytí, včetně dodání folie</t>
  </si>
  <si>
    <t>63151513</t>
  </si>
  <si>
    <t>771574516</t>
  </si>
  <si>
    <t>Nástřik stropu měkkou PUR pěnou v tl 100 mm koef 0,037 W/m/K včetně přípravy podkladu a zakrytí konstrukcí</t>
  </si>
  <si>
    <t>Repase veškerého mobiliáře, odstranění a opětovné vrácení na původní místo. (květinové nádoby,  zábradlí, zíďka, apod.)</t>
  </si>
  <si>
    <t>721233112</t>
  </si>
  <si>
    <t>721273153</t>
  </si>
  <si>
    <t>Demontáž střešního bodového světlíku přes 1 do 1,5 m2, včetně repase na novou výškovou úroveň</t>
  </si>
  <si>
    <t xml:space="preserve">žaluzie venkovní se servopohonem 4100/1500 - Z4 včetně viditelného boxu, motoru, ovládání  kompletní dodávka dle tab. </t>
  </si>
  <si>
    <t xml:space="preserve"> Pavel Chrobok - Projektová kancelář ATLAS s.r.o.</t>
  </si>
  <si>
    <t>OK</t>
  </si>
  <si>
    <t>Vnitrostaveništní doprava suti a vybouraných hmot pro budovy do 9 m s omezením mechanizace</t>
  </si>
  <si>
    <t>Odvoz suti a vybouraných hmot na skládku nebo meziskládku se složením</t>
  </si>
  <si>
    <t>Poplatek za uložení na skládce (skládkovné) stavebního odpadu nevyužitelného (30%)</t>
  </si>
  <si>
    <t>Recyklace stavebního odpadu v minimální výši 70%stavebního odpadu dle Technických pokynů k uplatněná zásady "významě nepoškozovat" podla nařízení a Nástroji pro oživení a odolnost  - EK 2021/C 58/01) (uložení odpadu na recyklační skládce s jeho plným využitím) (70%)</t>
  </si>
  <si>
    <t>997013645</t>
  </si>
  <si>
    <t>997013821</t>
  </si>
  <si>
    <t>Poplatek za uložení na skládce (skládkovné) stavebního odpadu s obsahem azbestu kód odpadu 17 06 05</t>
  </si>
  <si>
    <t>Poplatek za uložení na skládce (skládkovné) odpadu asfaltového bez dehtu kód odpadu 17 03 02</t>
  </si>
  <si>
    <t>997013631</t>
  </si>
  <si>
    <t>997013871</t>
  </si>
  <si>
    <t>997006012</t>
  </si>
  <si>
    <t xml:space="preserve">Úprava stavebního odpadu třídění ruční - Příplatek za třídění a recyklaci  suti a vybouraných hmot </t>
  </si>
  <si>
    <t>998011010</t>
  </si>
  <si>
    <t>712340832</t>
  </si>
  <si>
    <t>Odstranění povlakové krytiny střech do 10° z pásů NAIP přitavených v plné ploše</t>
  </si>
  <si>
    <t>Provedení povlakové krytiny střech do 10° za studena lakem penetračním nebo asfaltovým</t>
  </si>
  <si>
    <t>11163150</t>
  </si>
  <si>
    <t>lak penetrační asfaltový</t>
  </si>
  <si>
    <t>kg</t>
  </si>
  <si>
    <t>712331101</t>
  </si>
  <si>
    <t>62821109</t>
  </si>
  <si>
    <t>asfaltový pás separační s krycí vrstvou tl do 1,0mm, typu R</t>
  </si>
  <si>
    <t xml:space="preserve">Provedení povlakové krytiny střech do 10° fólií mechanicky kotvenou v plné ploše </t>
  </si>
  <si>
    <t>28322000</t>
  </si>
  <si>
    <t>fólie hydroizolační střešní mPVC mechanicky kotvená šedá tl 2,0mm</t>
  </si>
  <si>
    <t>Odstranění tepelné izolace střech nadstřešní volně kladené z vláknitých materiálů suchých tl přes 100 mm</t>
  </si>
  <si>
    <t>Montáž izolace tepelné střech plochých lepené asfaltem plně 1 vrstva rohoží, pásů, dílců, desek</t>
  </si>
  <si>
    <t>28376421</t>
  </si>
  <si>
    <t>deska XPS hrana polodrážková a hladký povrch 300kPA λ=0,035 tl 80mm</t>
  </si>
  <si>
    <t>Montáž izolace tepelné střech plochých lepené za studena plně 1 vrstva rohoží, pásů, dílců, desek (2 vrstvy)</t>
  </si>
  <si>
    <t>28372205</t>
  </si>
  <si>
    <t>713141321</t>
  </si>
  <si>
    <t>Montáž izolace tepelné střech plochých lepené asfaltem zplna, spádová vrstva</t>
  </si>
  <si>
    <t>Montáž izolace tepelné střech plochých volně položené atikový klín</t>
  </si>
  <si>
    <t>63152005</t>
  </si>
  <si>
    <t xml:space="preserve">klín atikový přechodný z pěnového polystyrenu EPS 100 </t>
  </si>
  <si>
    <t xml:space="preserve">Montáž izolace tepelné podlah, stropů vrchem nebo střech překrytí fólií s přelepeným spojem geotegtilií </t>
  </si>
  <si>
    <t>69311068</t>
  </si>
  <si>
    <t>741421823</t>
  </si>
  <si>
    <t>Demontáž hromosvodu na rovné střeše včetně svodů</t>
  </si>
  <si>
    <t>741810002</t>
  </si>
  <si>
    <t>Celková prohlídka a revize hromosvodu včetně revizní zprávy</t>
  </si>
  <si>
    <t>Montáž hromosvodu na rovné střeše včetně svodů</t>
  </si>
  <si>
    <t>Demontáž a opětovná montáž zařízení slaboproudu na ploché střeše</t>
  </si>
  <si>
    <t>HSV+PSV</t>
  </si>
  <si>
    <t>HSV+PSV (kontrolní součet)</t>
  </si>
  <si>
    <t>977151127</t>
  </si>
  <si>
    <t>Jádrové vrty diamantovými korunkami do stavebních materiálů D přes 225 do 250 mm</t>
  </si>
  <si>
    <t>Montáž izolace tepelné potrubí pásy, rohožemi, nebo systémově</t>
  </si>
  <si>
    <t>63166740</t>
  </si>
  <si>
    <t>Izolační pás minerální univerzální pro izolaci VZT potrubí tl 40mm</t>
  </si>
  <si>
    <t>Samostatné připojení VZT jednotky v rozvaděči kabeláž a  zednické práce pro instalaci VZT jednotky</t>
  </si>
  <si>
    <t>741810001</t>
  </si>
  <si>
    <t>Celková prohlídka elektrického rozvodu a zařízení do 100 000,- Kč a revizní zpráva</t>
  </si>
  <si>
    <r>
      <t xml:space="preserve">Vzduchotechnická jednotka s rekuperací tepla dodávka včetně montáže, zaškolení a záručního servisu
</t>
    </r>
    <r>
      <rPr>
        <sz val="8"/>
        <rFont val="Trebuchet MS"/>
        <family val="2"/>
        <charset val="238"/>
      </rPr>
      <t>nominální výkon 500 m3/hod
pracovní výkon: 450 m3/hod
hladina akustického tlaku max 31 dB 
Účinnost suché rekuperace 87% (min 80%)
ohřev elektrický, ByPas,filtrace G4
Vlastní regulace,</t>
    </r>
    <r>
      <rPr>
        <b/>
        <sz val="8"/>
        <rFont val="Trebuchet MS"/>
        <family val="2"/>
        <charset val="238"/>
      </rPr>
      <t xml:space="preserve"> ovládání IR čidlo CO2</t>
    </r>
  </si>
  <si>
    <t>42972481</t>
  </si>
  <si>
    <t>42972779</t>
  </si>
  <si>
    <t>42971030</t>
  </si>
  <si>
    <t>751510043</t>
  </si>
  <si>
    <t>Vzduchotechnické potrubí z pozinkovaného plechu kruhové spirálně vinutá trouba bez příruby D přes 200 do 300 mm, včetně materiálu a tvarovek</t>
  </si>
  <si>
    <t>Uchycení potrubí kruhového na montovanou konstrukci z nosníků kotvenou do betonu D přes 100 do 200 mm</t>
  </si>
  <si>
    <t>132551255</t>
  </si>
  <si>
    <t>713113111</t>
  </si>
  <si>
    <t xml:space="preserve"> 162751117</t>
  </si>
  <si>
    <t>Vodorovné přemístění do 10000 m výkopku/sypaniny z horniny tř. 1 až 3</t>
  </si>
  <si>
    <t>167151101</t>
  </si>
  <si>
    <t>171201231</t>
  </si>
  <si>
    <t>Poplatek za uložení zeminy a kamení na recyklační skládce (skládkovné) kód odpadu 17 05 04</t>
  </si>
  <si>
    <t>174151101</t>
  </si>
  <si>
    <t>Zásyp jam, šachet rýh nebo kolem objektů sypaninou se zhutněním</t>
  </si>
  <si>
    <t>212751104</t>
  </si>
  <si>
    <t>Trativod z drenážních trubek plastových flexibilních D do 100 mm včetně lože a obsypu -  otevřený výkop</t>
  </si>
  <si>
    <t>761661011</t>
  </si>
  <si>
    <t>Osazení sklepních světlíků (anglických dvorků) hl do 0,60 m š přes 1,0 m</t>
  </si>
  <si>
    <t>56245256</t>
  </si>
  <si>
    <t xml:space="preserve">světlík sklepní (anglický dvorek) včetně odvodňovacího prvku recyklovaný polymer rošt z děrovaného plechu </t>
  </si>
  <si>
    <t>567122114</t>
  </si>
  <si>
    <t>Podklad ze směsi stmelené cementem SC C 8/10 (KSC I) tl 150 mm</t>
  </si>
  <si>
    <t>916131112</t>
  </si>
  <si>
    <t>Osazení silničního obrubníku betonového ležatého bez boční opěry do lože z betonu prostého</t>
  </si>
  <si>
    <t>59217031</t>
  </si>
  <si>
    <t>obrubník silniční betonový 1000x150x250mm</t>
  </si>
  <si>
    <t>63151511</t>
  </si>
  <si>
    <t>deska tepelně izolační minerální kontaktních fasád kolmé vlákno λ=0,040-0,041 tl 80mm</t>
  </si>
  <si>
    <t>621541012</t>
  </si>
  <si>
    <t>Tenkovrstvá silikonsilikátová zatíraná omítka zrnitost 1,5 mm vnějších podhledů včetně penetrace</t>
  </si>
  <si>
    <t>Montáž kontaktního zateplení vnějších stěn lepením a mechanickým kotvením polystyrénových desek do betonu a zdiva tl přes 120 do 160 mm</t>
  </si>
  <si>
    <t>28375952</t>
  </si>
  <si>
    <t>28376021</t>
  </si>
  <si>
    <t>profil dilatační rohový PVC s výztužnou tkaninou pro ETICS</t>
  </si>
  <si>
    <t>profil začišťovací PVC pro ostění vnitřních omítek</t>
  </si>
  <si>
    <t>Omítka tenkovrstvá silikonsilikátová vnějších ploch probarvená, zatíraná (škrábaná), tloušťky 1,5 mm stěn, včetně penetrace</t>
  </si>
  <si>
    <t>622541012</t>
  </si>
  <si>
    <t xml:space="preserve"> 622541022</t>
  </si>
  <si>
    <t xml:space="preserve">Tenkovrstvá mozaiková silikonsilikátová zatíraná omítka zrnitost 2,0 mm vnějších stěn včetně penetrace  </t>
  </si>
  <si>
    <t>621221121</t>
  </si>
  <si>
    <t>784321031</t>
  </si>
  <si>
    <t>784321051</t>
  </si>
  <si>
    <t xml:space="preserve">Příplatek k cenám dvojnásobných silikátových maleb za barevnou malbu </t>
  </si>
  <si>
    <t>612311141</t>
  </si>
  <si>
    <t xml:space="preserve">Tenkovrstvá vnitřní štuková omítka dvouvrstvá  nanášená ručně včetně penetrace </t>
  </si>
  <si>
    <t>oprava izolace proti zemní vlhkosti, - komplet</t>
  </si>
  <si>
    <t>766660661</t>
  </si>
  <si>
    <t>Montáž vchodových dveří včetně rámu dvoukřídlových s nadsvětlíkem do betonové konstrukce</t>
  </si>
  <si>
    <t>61140508</t>
  </si>
  <si>
    <t>dveře dvoukřídlé plastové bílé prosklené 2400/2400 mm</t>
  </si>
  <si>
    <t>repase části okeních výplní v rámci osazení zateplení</t>
  </si>
  <si>
    <t>repase zábradlí na lodžií včetně zasklení bezpečnostním sklem conex (demontáž + montáž)</t>
  </si>
  <si>
    <t>Repase  fasádních markýz</t>
  </si>
  <si>
    <t>Repase a nátěr mříží okeních</t>
  </si>
  <si>
    <t>59761100</t>
  </si>
  <si>
    <t>dlažba keramická slinutá mrazuvzdorná R9 povrch reliéfní/lapovaný tl do 10mm přes 2 do 4ks/m2</t>
  </si>
  <si>
    <t xml:space="preserve">Lokální vyrovnání podkladu stěrkou </t>
  </si>
  <si>
    <t>781151014</t>
  </si>
  <si>
    <t>V01</t>
  </si>
  <si>
    <t>V02</t>
  </si>
  <si>
    <t>V03</t>
  </si>
  <si>
    <t>V04</t>
  </si>
  <si>
    <t>V05</t>
  </si>
  <si>
    <t>V06</t>
  </si>
  <si>
    <t>V07</t>
  </si>
  <si>
    <t>V08</t>
  </si>
  <si>
    <t xml:space="preserve">Montáž fasádní žaluzie před okenní nebo dveřní otvor ovládané motorem včetně boxu, motoru, ovládání </t>
  </si>
  <si>
    <t>786623027</t>
  </si>
  <si>
    <t>0041059-1</t>
  </si>
  <si>
    <t>0041059-2</t>
  </si>
  <si>
    <t>0041059-3</t>
  </si>
  <si>
    <t>0041059-4</t>
  </si>
  <si>
    <t>0041059-5</t>
  </si>
  <si>
    <t>0041059-6</t>
  </si>
  <si>
    <t>0041059-7</t>
  </si>
  <si>
    <t>0041059-8</t>
  </si>
  <si>
    <t>Provedení grafiky na fasádě, probarvený fasádní nátěr včetně materiálu</t>
  </si>
  <si>
    <t>Vyplň údaj</t>
  </si>
  <si>
    <t>deska EPS 70 G šedá fasádní λ=0,031 tl 160mm</t>
  </si>
  <si>
    <t>deska střešní EPS 100  λ=0,037 tl 120mm</t>
  </si>
  <si>
    <t>Montáž kontaktního zateplení vnějších stěn XPS minerální vlny s kolmou orientací tl do 80 mm</t>
  </si>
  <si>
    <t>Krytina střechy rovné drážkováním z tabulí z poplastovaného plechu sklonu do 30°</t>
  </si>
  <si>
    <t>Oplechování horních ploch a nadezdívek (atik) bez rohů z poplastovaného plechu celoplošně lepené rš 670 mm</t>
  </si>
  <si>
    <t>Oplechování parapetů rovných celoplošně lepené z poplastovaného plechu rš 250 mm</t>
  </si>
  <si>
    <t>Žlaby mezistřešní nebo zaatikové uložené v lůžku z poplastovaného plechu rš 1100 mm</t>
  </si>
  <si>
    <t>Svody kruhové včetně objímek, kolen, odskoků z poplastovaného plechu průměru 80 mm</t>
  </si>
  <si>
    <t>Oplechování horních ploch a nadezdívek (atik) bez rohů z poplastovaného plechu celoplošně lepené rš 400 mm</t>
  </si>
  <si>
    <t>skelné rouno protipožární 120g/m2, pro dosažení klasifikace střechy Broof T3</t>
  </si>
  <si>
    <t>deska XPS soklová 150kPa λ max =0,035 tl 160mm</t>
  </si>
  <si>
    <t>deska XPS pro ostění λ=0,031 tl 40mm</t>
  </si>
  <si>
    <t>Montáž kontaktního zateplení vnějších stěn lepením a mechanickým kotvením polystyrénových desek XPS do betonu a zdiva tl 40 mm</t>
  </si>
  <si>
    <t>53a</t>
  </si>
  <si>
    <t>Montáž střešního výlezu  na novou výškovou úroveň střechy</t>
  </si>
  <si>
    <t>53b</t>
  </si>
  <si>
    <t>Střešní výlez izolovaný výklopný  s plynovovými vzpěrami v rozměrech dle stávajících výlezů (900/900 mm) včetně stahovacího žebříku</t>
  </si>
  <si>
    <t>V1</t>
  </si>
  <si>
    <t>V2</t>
  </si>
  <si>
    <t xml:space="preserve">Demontáž střešního výlezu </t>
  </si>
  <si>
    <t>43a</t>
  </si>
  <si>
    <t>35442062</t>
  </si>
  <si>
    <t>Pás zemnící 30x4mm FeZn včetně montáže</t>
  </si>
  <si>
    <t>27a</t>
  </si>
  <si>
    <t xml:space="preserve">Dodávka modulu centrálního ovládání Vzduchotechniky Smart s možností ovládání pomocí aplikace. včetně zprovoznění a zaškolení </t>
  </si>
  <si>
    <t>751611111a</t>
  </si>
  <si>
    <t xml:space="preserve">    741 - Elektroinstalace</t>
  </si>
  <si>
    <t>Montáž vyústi stěnové, včetně odbočky</t>
  </si>
  <si>
    <t xml:space="preserve">Montáž tlumiče hluku flexibilního </t>
  </si>
  <si>
    <t>Tlumič hluku flexibilní 200/50/1000 mm</t>
  </si>
  <si>
    <t>Montáž větrací mřížky dveřní</t>
  </si>
  <si>
    <t xml:space="preserve">Montáž větrací mřížky stěnové </t>
  </si>
  <si>
    <t>Výusť stěnová komfortní odtahová dvouřadá hliníková 300/100 mm</t>
  </si>
  <si>
    <t>Výusť stěnová komfortní přívodní dvouřadá hliníková 300/100 mm</t>
  </si>
  <si>
    <t>Dveřní mřížka pro VZT 300/200 oboustanná , hliníková</t>
  </si>
  <si>
    <t>6a</t>
  </si>
  <si>
    <t>6c</t>
  </si>
  <si>
    <t>sdružená fasádní výústka montáž</t>
  </si>
  <si>
    <t>75139809</t>
  </si>
  <si>
    <t>4297103</t>
  </si>
  <si>
    <t xml:space="preserve">Sdružená fasádní výústka pro potrubí 2xD200 mm s hlukovou izolací antracit </t>
  </si>
  <si>
    <t>VV</t>
  </si>
  <si>
    <t>True</t>
  </si>
  <si>
    <t>Systém napájení a řízení VZT bude dodán jako funkční celek dle ovládání popsaného v PD a technické zprávě, Včetně zaškolení a zaregulování a výchozích revizí a měřrení.</t>
  </si>
  <si>
    <t>Systém napájení a řízení žaluzií bude dodán jako funkční celek dle ovládání popsaného v PD a technické zprávě.  Včetně zaškolení a zaregulování a výchozích revizí a měřrení.</t>
  </si>
  <si>
    <t>Ovládací tlačítko žaluzií systému včetně WIFI modulu (hluboká krabice)</t>
  </si>
  <si>
    <t>Wifi modul
dvoukanálový, monitorování spotřeby, integrovaná ochrana WIFI/Bluetooth/IP konektivita</t>
  </si>
  <si>
    <t>Ovládací modul centrálního systému přenosný  (pro každou třídu, byt a ucelený soubor místností)</t>
  </si>
  <si>
    <t xml:space="preserve">Dodávka modulu centrálního ovládání žaluzií Smart s možností ovládání pomocí aplikace Smartfone+PC. včetně zprovoznění a zaškolení </t>
  </si>
  <si>
    <t>Kabeláž silnoproudá, Kabel CYKY 3x2,5 mm (přívod)</t>
  </si>
  <si>
    <t>Kabeláž silnoproudá, Kabel CYKY 5x1,5 mm (motory)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</si>
</sst>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Trebuchet MS"/>
      <family val="2"/>
    </font>
    <font>
      <sz val="8"/>
      <color rgb="FF969696"/>
      <name val="Trebuchet MS"/>
      <family val="2"/>
      <charset val="238"/>
    </font>
    <font>
      <sz val="9"/>
      <name val="Trebuchet MS"/>
      <family val="2"/>
      <charset val="238"/>
    </font>
    <font>
      <b/>
      <sz val="12"/>
      <name val="Trebuchet MS"/>
      <family val="2"/>
      <charset val="238"/>
    </font>
    <font>
      <sz val="11"/>
      <name val="Trebuchet MS"/>
      <family val="2"/>
      <charset val="238"/>
    </font>
    <font>
      <sz val="12"/>
      <color rgb="FF003366"/>
      <name val="Trebuchet MS"/>
      <family val="2"/>
      <charset val="238"/>
    </font>
    <font>
      <sz val="10"/>
      <color rgb="FF003366"/>
      <name val="Trebuchet MS"/>
      <family val="2"/>
      <charset val="238"/>
    </font>
    <font>
      <sz val="8"/>
      <color rgb="FF003366"/>
      <name val="Trebuchet MS"/>
      <family val="2"/>
      <charset val="238"/>
    </font>
    <font>
      <sz val="8"/>
      <color rgb="FFFAE682"/>
      <name val="Trebuchet MS"/>
      <family val="2"/>
      <charset val="238"/>
    </font>
    <font>
      <sz val="10"/>
      <name val="Trebuchet MS"/>
      <family val="2"/>
      <charset val="238"/>
    </font>
    <font>
      <sz val="10"/>
      <color rgb="FF960000"/>
      <name val="Trebuchet MS"/>
      <family val="2"/>
      <charset val="238"/>
    </font>
    <font>
      <u/>
      <sz val="10"/>
      <color theme="10"/>
      <name val="Trebuchet MS"/>
      <family val="2"/>
      <charset val="238"/>
    </font>
    <font>
      <sz val="8"/>
      <color rgb="FF3366FF"/>
      <name val="Trebuchet MS"/>
      <family val="2"/>
      <charset val="238"/>
    </font>
    <font>
      <b/>
      <sz val="16"/>
      <name val="Trebuchet MS"/>
      <family val="2"/>
      <charset val="238"/>
    </font>
    <font>
      <sz val="9"/>
      <color rgb="FF969696"/>
      <name val="Trebuchet MS"/>
      <family val="2"/>
      <charset val="238"/>
    </font>
    <font>
      <sz val="10"/>
      <color rgb="FF464646"/>
      <name val="Trebuchet MS"/>
      <family val="2"/>
      <charset val="238"/>
    </font>
    <font>
      <b/>
      <sz val="10"/>
      <name val="Trebuchet MS"/>
      <family val="2"/>
      <charset val="238"/>
    </font>
    <font>
      <b/>
      <sz val="8"/>
      <color rgb="FF969696"/>
      <name val="Trebuchet MS"/>
      <family val="2"/>
      <charset val="238"/>
    </font>
    <font>
      <b/>
      <sz val="10"/>
      <color rgb="FF464646"/>
      <name val="Trebuchet MS"/>
      <family val="2"/>
      <charset val="238"/>
    </font>
    <font>
      <sz val="10"/>
      <color rgb="FF969696"/>
      <name val="Trebuchet MS"/>
      <family val="2"/>
      <charset val="238"/>
    </font>
    <font>
      <b/>
      <sz val="9"/>
      <name val="Trebuchet MS"/>
      <family val="2"/>
      <charset val="238"/>
    </font>
    <font>
      <b/>
      <sz val="12"/>
      <color rgb="FF960000"/>
      <name val="Trebuchet MS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Trebuchet MS"/>
      <family val="2"/>
      <charset val="238"/>
    </font>
    <font>
      <sz val="11"/>
      <color rgb="FF003366"/>
      <name val="Trebuchet MS"/>
      <family val="2"/>
      <charset val="238"/>
    </font>
    <font>
      <b/>
      <sz val="12"/>
      <color rgb="FF800000"/>
      <name val="Trebuchet MS"/>
      <family val="2"/>
      <charset val="238"/>
    </font>
    <font>
      <b/>
      <sz val="8"/>
      <color rgb="FF800000"/>
      <name val="Trebuchet MS"/>
      <family val="2"/>
      <charset val="238"/>
    </font>
    <font>
      <sz val="8"/>
      <color rgb="FF960000"/>
      <name val="Trebuchet MS"/>
      <family val="2"/>
      <charset val="238"/>
    </font>
    <font>
      <b/>
      <sz val="8"/>
      <name val="Trebuchet MS"/>
      <family val="2"/>
      <charset val="238"/>
    </font>
    <font>
      <i/>
      <sz val="8"/>
      <color rgb="FF0000FF"/>
      <name val="Trebuchet MS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name val="Trebuchet MS"/>
      <family val="2"/>
      <charset val="238"/>
    </font>
    <font>
      <b/>
      <sz val="18"/>
      <name val="Trebuchet MS"/>
      <family val="2"/>
      <charset val="238"/>
    </font>
    <font>
      <b/>
      <u/>
      <sz val="8"/>
      <name val="Trebuchet MS"/>
      <family val="2"/>
      <charset val="238"/>
    </font>
    <font>
      <b/>
      <sz val="14"/>
      <color rgb="FFFF0000"/>
      <name val="Trebuchet MS"/>
      <family val="2"/>
      <charset val="238"/>
    </font>
    <font>
      <sz val="10"/>
      <name val="Arial CE"/>
      <charset val="1"/>
    </font>
    <font>
      <sz val="12"/>
      <color rgb="FF003366"/>
      <name val="Arial CE"/>
      <charset val="1"/>
    </font>
    <font>
      <sz val="10"/>
      <color rgb="FF003366"/>
      <name val="Arial CE"/>
      <charset val="1"/>
    </font>
    <font>
      <sz val="9"/>
      <name val="Arial CE"/>
      <charset val="1"/>
    </font>
    <font>
      <sz val="9"/>
      <name val="Arial CE"/>
    </font>
    <font>
      <sz val="9"/>
      <name val="Arial CE"/>
      <family val="2"/>
      <charset val="238"/>
    </font>
    <font>
      <sz val="8"/>
      <name val="Arial CE"/>
      <family val="2"/>
      <charset val="1"/>
    </font>
    <font>
      <sz val="8"/>
      <color rgb="FF003366"/>
      <name val="Arial CE"/>
      <family val="2"/>
      <charset val="238"/>
    </font>
    <font>
      <i/>
      <sz val="9"/>
      <color rgb="FF0000FF"/>
      <name val="Arial CE"/>
      <charset val="1"/>
    </font>
    <font>
      <i/>
      <sz val="9"/>
      <color rgb="FF0000FF"/>
      <name val="Arial CE"/>
      <family val="2"/>
      <charset val="238"/>
    </font>
    <font>
      <sz val="10"/>
      <color rgb="FF003366"/>
      <name val="Arial CE"/>
      <family val="2"/>
      <charset val="238"/>
    </font>
    <font>
      <sz val="10"/>
      <name val="Arial CE"/>
      <family val="2"/>
      <charset val="238"/>
    </font>
    <font>
      <sz val="8"/>
      <color rgb="FF505050"/>
      <name val="Arial CE"/>
      <family val="2"/>
      <charset val="238"/>
    </font>
    <font>
      <sz val="7"/>
      <color rgb="FF969696"/>
      <name val="Arial CE"/>
      <family val="2"/>
      <charset val="238"/>
    </font>
    <font>
      <i/>
      <sz val="8"/>
      <color rgb="FF505050"/>
      <name val="Arial CE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CC"/>
      </patternFill>
    </fill>
    <fill>
      <patternFill patternType="solid">
        <fgColor rgb="FFD2D2D2"/>
        <bgColor rgb="FFC0C0C0"/>
      </patternFill>
    </fill>
    <fill>
      <patternFill patternType="solid">
        <fgColor rgb="FFFFF2CC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</borders>
  <cellStyleXfs count="4">
    <xf numFmtId="0" fontId="0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1" fillId="0" borderId="0"/>
  </cellStyleXfs>
  <cellXfs count="238">
    <xf numFmtId="0" fontId="0" fillId="0" borderId="0" xfId="0"/>
    <xf numFmtId="0" fontId="11" fillId="2" borderId="0" xfId="1" applyFont="1" applyFill="1" applyAlignment="1" applyProtection="1">
      <alignment vertical="center"/>
    </xf>
    <xf numFmtId="0" fontId="11" fillId="2" borderId="0" xfId="2" applyFont="1" applyFill="1" applyAlignment="1" applyProtection="1">
      <alignment vertical="center"/>
    </xf>
    <xf numFmtId="167" fontId="0" fillId="8" borderId="25" xfId="0" applyNumberFormat="1" applyFill="1" applyBorder="1" applyAlignment="1" applyProtection="1">
      <alignment vertical="center"/>
      <protection locked="0"/>
    </xf>
    <xf numFmtId="0" fontId="0" fillId="2" borderId="0" xfId="0" applyFill="1"/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26" xfId="0" applyBorder="1"/>
    <xf numFmtId="0" fontId="0" fillId="0" borderId="4" xfId="0" applyBorder="1"/>
    <xf numFmtId="0" fontId="0" fillId="0" borderId="5" xfId="0" applyBorder="1"/>
    <xf numFmtId="0" fontId="1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top"/>
    </xf>
    <xf numFmtId="0" fontId="0" fillId="0" borderId="5" xfId="0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26" xfId="0" applyBorder="1" applyAlignment="1">
      <alignment vertical="center"/>
    </xf>
    <xf numFmtId="0" fontId="0" fillId="0" borderId="12" xfId="0" applyBorder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26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0" fillId="5" borderId="0" xfId="0" applyFill="1" applyAlignment="1">
      <alignment vertical="center"/>
    </xf>
    <xf numFmtId="0" fontId="3" fillId="5" borderId="8" xfId="0" applyFont="1" applyFill="1" applyBorder="1" applyAlignment="1">
      <alignment horizontal="left" vertical="center"/>
    </xf>
    <xf numFmtId="0" fontId="0" fillId="5" borderId="9" xfId="0" applyFill="1" applyBorder="1" applyAlignment="1">
      <alignment vertical="center"/>
    </xf>
    <xf numFmtId="0" fontId="3" fillId="5" borderId="9" xfId="0" applyFont="1" applyFill="1" applyBorder="1" applyAlignment="1">
      <alignment horizontal="right" vertical="center"/>
    </xf>
    <xf numFmtId="0" fontId="3" fillId="5" borderId="9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19" fillId="0" borderId="16" xfId="0" applyFont="1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19" fillId="0" borderId="17" xfId="0" applyFont="1" applyBorder="1" applyAlignment="1">
      <alignment horizontal="left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vertical="center"/>
    </xf>
    <xf numFmtId="4" fontId="7" fillId="0" borderId="0" xfId="0" applyNumberFormat="1" applyFont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21" fillId="5" borderId="0" xfId="0" applyFont="1" applyFill="1" applyAlignment="1">
      <alignment horizontal="left" vertical="center"/>
    </xf>
    <xf numFmtId="0" fontId="36" fillId="0" borderId="26" xfId="0" applyFont="1" applyBorder="1" applyAlignment="1">
      <alignment vertical="center"/>
    </xf>
    <xf numFmtId="0" fontId="37" fillId="0" borderId="26" xfId="0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0" fillId="0" borderId="11" xfId="0" applyBorder="1" applyAlignment="1">
      <alignment vertical="center"/>
    </xf>
    <xf numFmtId="166" fontId="27" fillId="0" borderId="12" xfId="0" applyNumberFormat="1" applyFont="1" applyBorder="1"/>
    <xf numFmtId="166" fontId="27" fillId="0" borderId="13" xfId="0" applyNumberFormat="1" applyFont="1" applyBorder="1"/>
    <xf numFmtId="4" fontId="28" fillId="0" borderId="0" xfId="0" applyNumberFormat="1" applyFont="1" applyAlignment="1">
      <alignment vertical="center"/>
    </xf>
    <xf numFmtId="0" fontId="7" fillId="0" borderId="4" xfId="0" applyFont="1" applyBorder="1"/>
    <xf numFmtId="0" fontId="7" fillId="0" borderId="0" xfId="0" applyFont="1"/>
    <xf numFmtId="0" fontId="5" fillId="0" borderId="0" xfId="0" applyFont="1" applyAlignment="1">
      <alignment horizontal="left"/>
    </xf>
    <xf numFmtId="0" fontId="7" fillId="0" borderId="5" xfId="0" applyFont="1" applyBorder="1"/>
    <xf numFmtId="0" fontId="7" fillId="0" borderId="14" xfId="0" applyFont="1" applyBorder="1"/>
    <xf numFmtId="166" fontId="7" fillId="0" borderId="0" xfId="0" applyNumberFormat="1" applyFont="1"/>
    <xf numFmtId="166" fontId="7" fillId="0" borderId="15" xfId="0" applyNumberFormat="1" applyFont="1" applyBorder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6" fillId="0" borderId="0" xfId="0" applyFont="1" applyAlignment="1">
      <alignment horizontal="left"/>
    </xf>
    <xf numFmtId="0" fontId="0" fillId="0" borderId="25" xfId="0" applyBorder="1" applyAlignment="1">
      <alignment horizontal="center" vertical="center"/>
    </xf>
    <xf numFmtId="49" fontId="0" fillId="0" borderId="25" xfId="0" applyNumberFormat="1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167" fontId="0" fillId="0" borderId="25" xfId="0" applyNumberFormat="1" applyBorder="1" applyAlignment="1">
      <alignment vertical="center"/>
    </xf>
    <xf numFmtId="0" fontId="1" fillId="6" borderId="25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166" fontId="1" fillId="0" borderId="0" xfId="0" applyNumberFormat="1" applyFont="1" applyAlignment="1">
      <alignment vertical="center"/>
    </xf>
    <xf numFmtId="166" fontId="1" fillId="0" borderId="15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45" fillId="0" borderId="26" xfId="0" applyFont="1" applyBorder="1" applyAlignment="1">
      <alignment vertical="center"/>
    </xf>
    <xf numFmtId="0" fontId="29" fillId="0" borderId="25" xfId="0" applyFont="1" applyBorder="1" applyAlignment="1">
      <alignment horizontal="center" vertical="center"/>
    </xf>
    <xf numFmtId="49" fontId="29" fillId="0" borderId="25" xfId="0" applyNumberFormat="1" applyFont="1" applyBorder="1" applyAlignment="1">
      <alignment horizontal="left" vertical="center" wrapText="1"/>
    </xf>
    <xf numFmtId="0" fontId="29" fillId="0" borderId="25" xfId="0" applyFont="1" applyBorder="1" applyAlignment="1">
      <alignment horizontal="center" vertical="center" wrapText="1"/>
    </xf>
    <xf numFmtId="167" fontId="29" fillId="0" borderId="25" xfId="0" applyNumberFormat="1" applyFont="1" applyBorder="1" applyAlignment="1">
      <alignment vertical="center"/>
    </xf>
    <xf numFmtId="0" fontId="39" fillId="0" borderId="26" xfId="0" applyFont="1" applyBorder="1" applyAlignment="1">
      <alignment horizontal="left" vertical="center" wrapText="1"/>
    </xf>
    <xf numFmtId="0" fontId="34" fillId="0" borderId="0" xfId="0" applyFont="1" applyAlignment="1">
      <alignment vertical="center"/>
    </xf>
    <xf numFmtId="0" fontId="47" fillId="0" borderId="4" xfId="0" applyFont="1" applyBorder="1" applyAlignment="1">
      <alignment vertical="center"/>
    </xf>
    <xf numFmtId="0" fontId="48" fillId="0" borderId="0" xfId="0" applyFont="1" applyAlignment="1">
      <alignment horizontal="left" vertical="center"/>
    </xf>
    <xf numFmtId="0" fontId="48" fillId="0" borderId="0" xfId="0" applyFont="1" applyAlignment="1">
      <alignment horizontal="left" vertical="top"/>
    </xf>
    <xf numFmtId="0" fontId="47" fillId="0" borderId="0" xfId="0" applyFont="1" applyAlignment="1">
      <alignment vertical="center"/>
    </xf>
    <xf numFmtId="0" fontId="0" fillId="0" borderId="28" xfId="0" applyBorder="1" applyAlignment="1">
      <alignment horizontal="left" vertical="center"/>
    </xf>
    <xf numFmtId="0" fontId="47" fillId="0" borderId="15" xfId="0" applyFont="1" applyBorder="1" applyAlignment="1">
      <alignment vertical="center"/>
    </xf>
    <xf numFmtId="0" fontId="47" fillId="0" borderId="0" xfId="0" applyFont="1" applyAlignment="1">
      <alignment horizontal="left" vertical="center"/>
    </xf>
    <xf numFmtId="0" fontId="33" fillId="0" borderId="0" xfId="0" applyFont="1" applyAlignment="1">
      <alignment vertical="center"/>
    </xf>
    <xf numFmtId="0" fontId="39" fillId="0" borderId="0" xfId="0" applyFont="1" applyAlignment="1">
      <alignment horizontal="left" vertical="center" wrapText="1"/>
    </xf>
    <xf numFmtId="0" fontId="1" fillId="0" borderId="25" xfId="0" applyFont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166" fontId="1" fillId="0" borderId="17" xfId="0" applyNumberFormat="1" applyFont="1" applyBorder="1" applyAlignment="1">
      <alignment vertical="center"/>
    </xf>
    <xf numFmtId="166" fontId="1" fillId="0" borderId="18" xfId="0" applyNumberFormat="1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9" fontId="43" fillId="0" borderId="25" xfId="0" applyNumberFormat="1" applyFont="1" applyBorder="1" applyAlignment="1">
      <alignment horizontal="left" vertical="center" wrapText="1"/>
    </xf>
    <xf numFmtId="49" fontId="44" fillId="0" borderId="25" xfId="0" applyNumberFormat="1" applyFont="1" applyBorder="1" applyAlignment="1">
      <alignment horizontal="left" vertical="center" wrapText="1"/>
    </xf>
    <xf numFmtId="0" fontId="40" fillId="0" borderId="25" xfId="0" applyFont="1" applyBorder="1" applyAlignment="1">
      <alignment horizontal="center" vertical="center"/>
    </xf>
    <xf numFmtId="49" fontId="40" fillId="0" borderId="25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7" borderId="0" xfId="0" applyFill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8" fillId="0" borderId="0" xfId="0" applyFont="1" applyAlignment="1">
      <alignment horizontal="center" vertical="center" wrapText="1"/>
    </xf>
    <xf numFmtId="0" fontId="38" fillId="7" borderId="0" xfId="0" applyFont="1" applyFill="1" applyAlignment="1">
      <alignment horizontal="center" vertical="center" wrapText="1"/>
    </xf>
    <xf numFmtId="0" fontId="40" fillId="0" borderId="0" xfId="0" applyFont="1" applyAlignment="1">
      <alignment horizontal="left" vertical="center" wrapText="1"/>
    </xf>
    <xf numFmtId="0" fontId="42" fillId="0" borderId="0" xfId="0" applyFont="1"/>
    <xf numFmtId="0" fontId="8" fillId="2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top"/>
    </xf>
    <xf numFmtId="0" fontId="35" fillId="0" borderId="0" xfId="0" applyFont="1" applyAlignment="1">
      <alignment horizontal="left" vertical="center"/>
    </xf>
    <xf numFmtId="0" fontId="0" fillId="0" borderId="6" xfId="0" applyBorder="1"/>
    <xf numFmtId="0" fontId="16" fillId="0" borderId="7" xfId="0" applyFont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3" fillId="4" borderId="8" xfId="0" applyFont="1" applyFill="1" applyBorder="1" applyAlignment="1">
      <alignment horizontal="left" vertical="center"/>
    </xf>
    <xf numFmtId="0" fontId="0" fillId="4" borderId="9" xfId="0" applyFill="1" applyBorder="1" applyAlignment="1">
      <alignment vertical="center"/>
    </xf>
    <xf numFmtId="0" fontId="3" fillId="4" borderId="9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1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0" fontId="0" fillId="0" borderId="0" xfId="0"/>
    <xf numFmtId="4" fontId="16" fillId="0" borderId="7" xfId="0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35" fillId="8" borderId="0" xfId="0" applyFont="1" applyFill="1" applyAlignment="1" applyProtection="1">
      <alignment horizontal="left" vertical="center"/>
      <protection locked="0"/>
    </xf>
    <xf numFmtId="0" fontId="46" fillId="8" borderId="0" xfId="0" applyFont="1" applyFill="1" applyAlignment="1" applyProtection="1">
      <alignment horizontal="left" vertical="center"/>
      <protection locked="0"/>
    </xf>
    <xf numFmtId="0" fontId="46" fillId="8" borderId="27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vertical="center"/>
    </xf>
    <xf numFmtId="4" fontId="21" fillId="5" borderId="0" xfId="0" applyNumberFormat="1" applyFont="1" applyFill="1" applyAlignment="1">
      <alignment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0" fillId="4" borderId="9" xfId="0" applyFill="1" applyBorder="1" applyAlignment="1">
      <alignment vertical="center"/>
    </xf>
    <xf numFmtId="4" fontId="3" fillId="4" borderId="9" xfId="0" applyNumberFormat="1" applyFont="1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4" fontId="2" fillId="0" borderId="0" xfId="0" applyNumberFormat="1" applyFont="1" applyAlignment="1">
      <alignment horizontal="left" vertical="center"/>
    </xf>
    <xf numFmtId="14" fontId="0" fillId="0" borderId="0" xfId="0" applyNumberFormat="1" applyAlignment="1">
      <alignment vertical="center"/>
    </xf>
    <xf numFmtId="0" fontId="0" fillId="0" borderId="25" xfId="0" applyBorder="1" applyAlignment="1">
      <alignment horizontal="left" vertical="center" wrapText="1"/>
    </xf>
    <xf numFmtId="4" fontId="0" fillId="8" borderId="22" xfId="0" applyNumberFormat="1" applyFill="1" applyBorder="1" applyAlignment="1" applyProtection="1">
      <alignment vertical="center"/>
      <protection locked="0"/>
    </xf>
    <xf numFmtId="4" fontId="0" fillId="8" borderId="24" xfId="0" applyNumberFormat="1" applyFill="1" applyBorder="1" applyAlignment="1" applyProtection="1">
      <alignment vertical="center"/>
      <protection locked="0"/>
    </xf>
    <xf numFmtId="4" fontId="0" fillId="0" borderId="25" xfId="0" applyNumberFormat="1" applyBorder="1" applyAlignment="1">
      <alignment vertical="center"/>
    </xf>
    <xf numFmtId="4" fontId="5" fillId="0" borderId="12" xfId="0" applyNumberFormat="1" applyFont="1" applyBorder="1"/>
    <xf numFmtId="4" fontId="5" fillId="0" borderId="12" xfId="0" applyNumberFormat="1" applyFont="1" applyBorder="1" applyAlignment="1">
      <alignment vertical="center"/>
    </xf>
    <xf numFmtId="0" fontId="29" fillId="0" borderId="25" xfId="0" applyFont="1" applyBorder="1" applyAlignment="1">
      <alignment horizontal="left" vertical="center" wrapText="1"/>
    </xf>
    <xf numFmtId="4" fontId="29" fillId="0" borderId="25" xfId="0" applyNumberFormat="1" applyFont="1" applyBorder="1" applyAlignment="1">
      <alignment vertical="center"/>
    </xf>
    <xf numFmtId="4" fontId="6" fillId="0" borderId="17" xfId="0" applyNumberFormat="1" applyFont="1" applyBorder="1"/>
    <xf numFmtId="4" fontId="6" fillId="0" borderId="17" xfId="0" applyNumberFormat="1" applyFont="1" applyBorder="1" applyAlignment="1">
      <alignment vertical="center"/>
    </xf>
    <xf numFmtId="4" fontId="6" fillId="0" borderId="23" xfId="0" applyNumberFormat="1" applyFont="1" applyBorder="1"/>
    <xf numFmtId="4" fontId="6" fillId="0" borderId="23" xfId="0" applyNumberFormat="1" applyFont="1" applyBorder="1" applyAlignment="1">
      <alignment vertical="center"/>
    </xf>
    <xf numFmtId="0" fontId="11" fillId="2" borderId="0" xfId="1" applyFont="1" applyFill="1" applyAlignment="1" applyProtection="1">
      <alignment horizontal="center" vertical="center"/>
    </xf>
    <xf numFmtId="4" fontId="21" fillId="0" borderId="12" xfId="0" applyNumberFormat="1" applyFont="1" applyBorder="1"/>
    <xf numFmtId="4" fontId="3" fillId="0" borderId="12" xfId="0" applyNumberFormat="1" applyFont="1" applyBorder="1" applyAlignment="1">
      <alignment vertical="center"/>
    </xf>
    <xf numFmtId="4" fontId="5" fillId="0" borderId="0" xfId="0" applyNumberFormat="1" applyFont="1"/>
    <xf numFmtId="4" fontId="5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5" borderId="23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" fillId="5" borderId="0" xfId="0" applyFont="1" applyFill="1" applyAlignment="1">
      <alignment horizontal="center" vertical="center"/>
    </xf>
    <xf numFmtId="0" fontId="0" fillId="5" borderId="0" xfId="0" applyFill="1" applyAlignment="1">
      <alignment vertical="center"/>
    </xf>
    <xf numFmtId="4" fontId="1" fillId="0" borderId="0" xfId="0" applyNumberFormat="1" applyFont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4" fontId="3" fillId="5" borderId="10" xfId="0" applyNumberFormat="1" applyFont="1" applyFill="1" applyBorder="1" applyAlignment="1">
      <alignment vertical="center"/>
    </xf>
    <xf numFmtId="4" fontId="16" fillId="0" borderId="0" xfId="0" applyNumberFormat="1" applyFont="1" applyAlignment="1">
      <alignment vertical="center"/>
    </xf>
    <xf numFmtId="4" fontId="0" fillId="8" borderId="25" xfId="0" applyNumberFormat="1" applyFill="1" applyBorder="1" applyAlignment="1" applyProtection="1">
      <alignment vertical="center"/>
      <protection locked="0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49" fillId="0" borderId="0" xfId="0" applyFont="1" applyAlignment="1">
      <alignment horizontal="left" vertical="center" wrapText="1"/>
    </xf>
    <xf numFmtId="0" fontId="11" fillId="2" borderId="0" xfId="2" applyFont="1" applyFill="1" applyAlignment="1" applyProtection="1">
      <alignment horizontal="center" vertical="center"/>
    </xf>
    <xf numFmtId="0" fontId="12" fillId="3" borderId="0" xfId="0" applyFont="1" applyFill="1" applyAlignment="1">
      <alignment horizontal="center" vertical="center"/>
    </xf>
    <xf numFmtId="4" fontId="0" fillId="0" borderId="22" xfId="0" applyNumberFormat="1" applyBorder="1" applyAlignment="1">
      <alignment vertical="center"/>
    </xf>
    <xf numFmtId="4" fontId="0" fillId="0" borderId="23" xfId="0" applyNumberFormat="1" applyBorder="1" applyAlignment="1">
      <alignment vertical="center"/>
    </xf>
    <xf numFmtId="4" fontId="0" fillId="0" borderId="24" xfId="0" applyNumberFormat="1" applyBorder="1" applyAlignment="1">
      <alignment vertical="center"/>
    </xf>
    <xf numFmtId="4" fontId="21" fillId="0" borderId="0" xfId="0" applyNumberFormat="1" applyFont="1"/>
    <xf numFmtId="4" fontId="3" fillId="0" borderId="0" xfId="0" applyNumberFormat="1" applyFont="1" applyAlignment="1">
      <alignment vertical="center"/>
    </xf>
  </cellXfs>
  <cellStyles count="4">
    <cellStyle name="Hypertextový odkaz" xfId="1" builtinId="8"/>
    <cellStyle name="Hypertextový odkaz 2" xfId="2" xr:uid="{E88FB9EE-4BBC-4D8C-8D2D-392EC21F5940}"/>
    <cellStyle name="Normální" xfId="0" builtinId="0" customBuiltin="1"/>
    <cellStyle name="Normální 2" xfId="3" xr:uid="{0BE75901-4538-41F0-81FC-09CB38ED5F22}"/>
  </cellStyles>
  <dxfs count="0"/>
  <tableStyles count="0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  <xdr:twoCellAnchor editAs="oneCell">
    <xdr:from>
      <xdr:col>45</xdr:col>
      <xdr:colOff>0</xdr:colOff>
      <xdr:row>216</xdr:row>
      <xdr:rowOff>180976</xdr:rowOff>
    </xdr:from>
    <xdr:to>
      <xdr:col>78</xdr:col>
      <xdr:colOff>495300</xdr:colOff>
      <xdr:row>218</xdr:row>
      <xdr:rowOff>171836</xdr:rowOff>
    </xdr:to>
    <xdr:pic>
      <xdr:nvPicPr>
        <xdr:cNvPr id="51" name="Obrázek 50">
          <a:extLst>
            <a:ext uri="{FF2B5EF4-FFF2-40B4-BE49-F238E27FC236}">
              <a16:creationId xmlns:a16="http://schemas.microsoft.com/office/drawing/2014/main" id="{D7F90C18-2580-87F5-8DF8-8E7CF6C23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39101" y="60588526"/>
          <a:ext cx="6362700" cy="562360"/>
        </a:xfrm>
        <a:prstGeom prst="rect">
          <a:avLst/>
        </a:prstGeom>
      </xdr:spPr>
    </xdr:pic>
    <xdr:clientData/>
  </xdr:twoCellAnchor>
  <xdr:twoCellAnchor editAs="oneCell">
    <xdr:from>
      <xdr:col>45</xdr:col>
      <xdr:colOff>0</xdr:colOff>
      <xdr:row>218</xdr:row>
      <xdr:rowOff>38100</xdr:rowOff>
    </xdr:from>
    <xdr:to>
      <xdr:col>79</xdr:col>
      <xdr:colOff>95250</xdr:colOff>
      <xdr:row>219</xdr:row>
      <xdr:rowOff>85460</xdr:rowOff>
    </xdr:to>
    <xdr:pic>
      <xdr:nvPicPr>
        <xdr:cNvPr id="52" name="Obrázek 51">
          <a:extLst>
            <a:ext uri="{FF2B5EF4-FFF2-40B4-BE49-F238E27FC236}">
              <a16:creationId xmlns:a16="http://schemas.microsoft.com/office/drawing/2014/main" id="{948F40E9-BF6F-BEEF-6DE1-88F21801C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01001" y="61017150"/>
          <a:ext cx="6496050" cy="533135"/>
        </a:xfrm>
        <a:prstGeom prst="rect">
          <a:avLst/>
        </a:prstGeom>
      </xdr:spPr>
    </xdr:pic>
    <xdr:clientData/>
  </xdr:twoCellAnchor>
  <xdr:twoCellAnchor editAs="oneCell">
    <xdr:from>
      <xdr:col>45</xdr:col>
      <xdr:colOff>0</xdr:colOff>
      <xdr:row>221</xdr:row>
      <xdr:rowOff>428625</xdr:rowOff>
    </xdr:from>
    <xdr:to>
      <xdr:col>79</xdr:col>
      <xdr:colOff>85725</xdr:colOff>
      <xdr:row>223</xdr:row>
      <xdr:rowOff>15628</xdr:rowOff>
    </xdr:to>
    <xdr:pic>
      <xdr:nvPicPr>
        <xdr:cNvPr id="53" name="Obrázek 52">
          <a:extLst>
            <a:ext uri="{FF2B5EF4-FFF2-40B4-BE49-F238E27FC236}">
              <a16:creationId xmlns:a16="http://schemas.microsoft.com/office/drawing/2014/main" id="{FAA0EDA2-D522-F444-0BD3-AB5C2C2DF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029575" y="62750700"/>
          <a:ext cx="6486525" cy="396628"/>
        </a:xfrm>
        <a:prstGeom prst="rect">
          <a:avLst/>
        </a:prstGeom>
      </xdr:spPr>
    </xdr:pic>
    <xdr:clientData/>
  </xdr:twoCellAnchor>
  <xdr:twoCellAnchor editAs="oneCell">
    <xdr:from>
      <xdr:col>45</xdr:col>
      <xdr:colOff>0</xdr:colOff>
      <xdr:row>242</xdr:row>
      <xdr:rowOff>285750</xdr:rowOff>
    </xdr:from>
    <xdr:to>
      <xdr:col>78</xdr:col>
      <xdr:colOff>190500</xdr:colOff>
      <xdr:row>243</xdr:row>
      <xdr:rowOff>474765</xdr:rowOff>
    </xdr:to>
    <xdr:pic>
      <xdr:nvPicPr>
        <xdr:cNvPr id="54" name="Obrázek 53">
          <a:extLst>
            <a:ext uri="{FF2B5EF4-FFF2-40B4-BE49-F238E27FC236}">
              <a16:creationId xmlns:a16="http://schemas.microsoft.com/office/drawing/2014/main" id="{2DD70DC2-E560-A63C-CF98-136E3C99D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115300" y="69484875"/>
          <a:ext cx="6057900" cy="560490"/>
        </a:xfrm>
        <a:prstGeom prst="rect">
          <a:avLst/>
        </a:prstGeom>
      </xdr:spPr>
    </xdr:pic>
    <xdr:clientData/>
  </xdr:twoCellAnchor>
  <xdr:twoCellAnchor editAs="oneCell">
    <xdr:from>
      <xdr:col>45</xdr:col>
      <xdr:colOff>0</xdr:colOff>
      <xdr:row>248</xdr:row>
      <xdr:rowOff>0</xdr:rowOff>
    </xdr:from>
    <xdr:to>
      <xdr:col>78</xdr:col>
      <xdr:colOff>323850</xdr:colOff>
      <xdr:row>250</xdr:row>
      <xdr:rowOff>466</xdr:rowOff>
    </xdr:to>
    <xdr:pic>
      <xdr:nvPicPr>
        <xdr:cNvPr id="55" name="Obrázek 54">
          <a:extLst>
            <a:ext uri="{FF2B5EF4-FFF2-40B4-BE49-F238E27FC236}">
              <a16:creationId xmlns:a16="http://schemas.microsoft.com/office/drawing/2014/main" id="{F76256BA-D878-7FFE-EB90-5E92E551D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53375" y="71180325"/>
          <a:ext cx="6191250" cy="533866"/>
        </a:xfrm>
        <a:prstGeom prst="rect">
          <a:avLst/>
        </a:prstGeom>
      </xdr:spPr>
    </xdr:pic>
    <xdr:clientData/>
  </xdr:twoCellAnchor>
  <xdr:twoCellAnchor editAs="oneCell">
    <xdr:from>
      <xdr:col>45</xdr:col>
      <xdr:colOff>0</xdr:colOff>
      <xdr:row>248</xdr:row>
      <xdr:rowOff>219076</xdr:rowOff>
    </xdr:from>
    <xdr:to>
      <xdr:col>78</xdr:col>
      <xdr:colOff>352425</xdr:colOff>
      <xdr:row>251</xdr:row>
      <xdr:rowOff>28466</xdr:rowOff>
    </xdr:to>
    <xdr:pic>
      <xdr:nvPicPr>
        <xdr:cNvPr id="56" name="Obrázek 55">
          <a:extLst>
            <a:ext uri="{FF2B5EF4-FFF2-40B4-BE49-F238E27FC236}">
              <a16:creationId xmlns:a16="http://schemas.microsoft.com/office/drawing/2014/main" id="{3A7E0FB8-0B02-A12F-7DB2-33D09D2E2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543925" y="71618476"/>
          <a:ext cx="6219825" cy="552340"/>
        </a:xfrm>
        <a:prstGeom prst="rect">
          <a:avLst/>
        </a:prstGeom>
      </xdr:spPr>
    </xdr:pic>
    <xdr:clientData/>
  </xdr:twoCellAnchor>
  <xdr:twoCellAnchor editAs="oneCell">
    <xdr:from>
      <xdr:col>45</xdr:col>
      <xdr:colOff>0</xdr:colOff>
      <xdr:row>249</xdr:row>
      <xdr:rowOff>0</xdr:rowOff>
    </xdr:from>
    <xdr:to>
      <xdr:col>78</xdr:col>
      <xdr:colOff>333375</xdr:colOff>
      <xdr:row>251</xdr:row>
      <xdr:rowOff>23248</xdr:rowOff>
    </xdr:to>
    <xdr:pic>
      <xdr:nvPicPr>
        <xdr:cNvPr id="57" name="Obrázek 56">
          <a:extLst>
            <a:ext uri="{FF2B5EF4-FFF2-40B4-BE49-F238E27FC236}">
              <a16:creationId xmlns:a16="http://schemas.microsoft.com/office/drawing/2014/main" id="{DE1CA9A6-6AA6-BC46-7078-4B2F33FCC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15275" y="72047100"/>
          <a:ext cx="6200775" cy="442348"/>
        </a:xfrm>
        <a:prstGeom prst="rect">
          <a:avLst/>
        </a:prstGeom>
      </xdr:spPr>
    </xdr:pic>
    <xdr:clientData/>
  </xdr:twoCellAnchor>
  <xdr:twoCellAnchor editAs="oneCell">
    <xdr:from>
      <xdr:col>45</xdr:col>
      <xdr:colOff>0</xdr:colOff>
      <xdr:row>250</xdr:row>
      <xdr:rowOff>161925</xdr:rowOff>
    </xdr:from>
    <xdr:to>
      <xdr:col>79</xdr:col>
      <xdr:colOff>28575</xdr:colOff>
      <xdr:row>252</xdr:row>
      <xdr:rowOff>162834</xdr:rowOff>
    </xdr:to>
    <xdr:pic>
      <xdr:nvPicPr>
        <xdr:cNvPr id="58" name="Obrázek 57">
          <a:extLst>
            <a:ext uri="{FF2B5EF4-FFF2-40B4-BE49-F238E27FC236}">
              <a16:creationId xmlns:a16="http://schemas.microsoft.com/office/drawing/2014/main" id="{FF459504-1EB4-3FC2-ED73-8C0216DCA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477250" y="72418575"/>
          <a:ext cx="6429375" cy="420009"/>
        </a:xfrm>
        <a:prstGeom prst="rect">
          <a:avLst/>
        </a:prstGeom>
      </xdr:spPr>
    </xdr:pic>
    <xdr:clientData/>
  </xdr:twoCellAnchor>
  <xdr:twoCellAnchor editAs="oneCell">
    <xdr:from>
      <xdr:col>45</xdr:col>
      <xdr:colOff>0</xdr:colOff>
      <xdr:row>253</xdr:row>
      <xdr:rowOff>171451</xdr:rowOff>
    </xdr:from>
    <xdr:to>
      <xdr:col>76</xdr:col>
      <xdr:colOff>257175</xdr:colOff>
      <xdr:row>265</xdr:row>
      <xdr:rowOff>121251</xdr:rowOff>
    </xdr:to>
    <xdr:pic>
      <xdr:nvPicPr>
        <xdr:cNvPr id="60" name="Obrázek 59">
          <a:extLst>
            <a:ext uri="{FF2B5EF4-FFF2-40B4-BE49-F238E27FC236}">
              <a16:creationId xmlns:a16="http://schemas.microsoft.com/office/drawing/2014/main" id="{1F628D69-5E2D-0241-3721-1D8E7BB30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267700" y="73171051"/>
          <a:ext cx="5057775" cy="3855050"/>
        </a:xfrm>
        <a:prstGeom prst="rect">
          <a:avLst/>
        </a:prstGeom>
      </xdr:spPr>
    </xdr:pic>
    <xdr:clientData/>
  </xdr:twoCellAnchor>
  <xdr:twoCellAnchor editAs="oneCell">
    <xdr:from>
      <xdr:col>45</xdr:col>
      <xdr:colOff>0</xdr:colOff>
      <xdr:row>269</xdr:row>
      <xdr:rowOff>0</xdr:rowOff>
    </xdr:from>
    <xdr:to>
      <xdr:col>77</xdr:col>
      <xdr:colOff>501752</xdr:colOff>
      <xdr:row>271</xdr:row>
      <xdr:rowOff>133349</xdr:rowOff>
    </xdr:to>
    <xdr:pic>
      <xdr:nvPicPr>
        <xdr:cNvPr id="68" name="Obrázek 67">
          <a:extLst>
            <a:ext uri="{FF2B5EF4-FFF2-40B4-BE49-F238E27FC236}">
              <a16:creationId xmlns:a16="http://schemas.microsoft.com/office/drawing/2014/main" id="{7CF76651-4E74-856A-EBE2-AADCBEA8E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105776" y="77314426"/>
          <a:ext cx="5835752" cy="3905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8F37DF7E-4934-4629-A377-195B3D53AB38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76860" cy="27686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96"/>
  <sheetViews>
    <sheetView showGridLines="0" workbookViewId="0">
      <pane ySplit="1" topLeftCell="A42" activePane="bottomLeft" state="frozen"/>
      <selection pane="bottomLeft" activeCell="E20" activeCellId="4" sqref="AN8:AQ8 AN13:AQ13 AN14:AQ14 E14:AI14 E20:AI20"/>
    </sheetView>
  </sheetViews>
  <sheetFormatPr defaultColWidth="9.28515625" defaultRowHeight="12"/>
  <cols>
    <col min="1" max="1" width="8.28515625" customWidth="1"/>
    <col min="2" max="2" width="1.7109375" customWidth="1"/>
    <col min="3" max="3" width="4.140625" customWidth="1"/>
    <col min="4" max="33" width="2.42578125" customWidth="1"/>
    <col min="34" max="34" width="3.28515625" customWidth="1"/>
    <col min="35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.7109375" customWidth="1"/>
  </cols>
  <sheetData>
    <row r="1" spans="1:43" ht="21.45" customHeight="1">
      <c r="A1" s="129" t="s">
        <v>0</v>
      </c>
      <c r="B1" s="5"/>
      <c r="C1" s="5"/>
      <c r="D1" s="6" t="s">
        <v>1</v>
      </c>
      <c r="E1" s="5"/>
      <c r="F1" s="5"/>
      <c r="G1" s="5"/>
      <c r="H1" s="5"/>
      <c r="I1" s="5"/>
      <c r="J1" s="5"/>
      <c r="K1" s="1" t="s">
        <v>2</v>
      </c>
      <c r="L1" s="1"/>
      <c r="M1" s="1"/>
      <c r="N1" s="1"/>
      <c r="O1" s="1"/>
      <c r="P1" s="1"/>
      <c r="Q1" s="1"/>
      <c r="R1" s="1"/>
      <c r="S1" s="1"/>
      <c r="T1" s="5"/>
      <c r="U1" s="5"/>
      <c r="V1" s="5"/>
      <c r="W1" s="1" t="s">
        <v>3</v>
      </c>
      <c r="X1" s="1"/>
      <c r="Y1" s="1"/>
      <c r="Z1" s="1"/>
      <c r="AA1" s="1"/>
      <c r="AB1" s="1"/>
      <c r="AC1" s="1"/>
      <c r="AD1" s="1"/>
      <c r="AE1" s="1"/>
      <c r="AF1" s="1"/>
      <c r="AG1" s="5"/>
      <c r="AH1" s="5"/>
      <c r="AI1" s="4"/>
      <c r="AJ1" s="4"/>
      <c r="AK1" s="4"/>
      <c r="AL1" s="4"/>
      <c r="AM1" s="4"/>
      <c r="AN1" s="4"/>
      <c r="AO1" s="4"/>
      <c r="AP1" s="4"/>
      <c r="AQ1" s="4"/>
    </row>
    <row r="2" spans="1:43" ht="36.9" customHeight="1">
      <c r="C2" s="160" t="s">
        <v>6</v>
      </c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</row>
    <row r="3" spans="1:43" ht="6.9" customHeight="1"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1"/>
    </row>
    <row r="4" spans="1:43" ht="36.9" customHeight="1">
      <c r="B4" s="13"/>
      <c r="C4" s="162" t="s">
        <v>8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4"/>
    </row>
    <row r="5" spans="1:43" ht="14.4" customHeight="1">
      <c r="B5" s="13"/>
      <c r="D5" s="130" t="s">
        <v>10</v>
      </c>
      <c r="K5" s="164" t="s">
        <v>11</v>
      </c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Q5" s="14"/>
    </row>
    <row r="6" spans="1:43" ht="36.9" customHeight="1">
      <c r="B6" s="13"/>
      <c r="D6" s="18" t="s">
        <v>12</v>
      </c>
      <c r="K6" s="165" t="s">
        <v>13</v>
      </c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Q6" s="14"/>
    </row>
    <row r="7" spans="1:43" ht="14.4" customHeight="1">
      <c r="B7" s="13"/>
      <c r="D7" s="15" t="s">
        <v>14</v>
      </c>
      <c r="K7" s="20" t="s">
        <v>4</v>
      </c>
      <c r="AK7" s="15" t="s">
        <v>15</v>
      </c>
      <c r="AN7" s="20" t="s">
        <v>4</v>
      </c>
      <c r="AQ7" s="14"/>
    </row>
    <row r="8" spans="1:43" ht="14.4" customHeight="1">
      <c r="B8" s="13"/>
      <c r="D8" s="15" t="s">
        <v>16</v>
      </c>
      <c r="K8" s="20" t="s">
        <v>17</v>
      </c>
      <c r="AK8" s="15" t="s">
        <v>18</v>
      </c>
      <c r="AN8" s="167" t="s">
        <v>618</v>
      </c>
      <c r="AO8" s="167"/>
      <c r="AP8" s="167"/>
      <c r="AQ8" s="168"/>
    </row>
    <row r="9" spans="1:43" ht="14.4" customHeight="1">
      <c r="B9" s="13"/>
      <c r="AQ9" s="14"/>
    </row>
    <row r="10" spans="1:43" ht="14.4" customHeight="1">
      <c r="B10" s="13"/>
      <c r="D10" s="15" t="s">
        <v>19</v>
      </c>
      <c r="AK10" s="15" t="s">
        <v>20</v>
      </c>
      <c r="AN10" s="20" t="s">
        <v>4</v>
      </c>
      <c r="AQ10" s="14"/>
    </row>
    <row r="11" spans="1:43" ht="18.45" customHeight="1">
      <c r="B11" s="13"/>
      <c r="E11" s="20" t="s">
        <v>21</v>
      </c>
      <c r="AK11" s="15" t="s">
        <v>22</v>
      </c>
      <c r="AN11" s="20" t="s">
        <v>4</v>
      </c>
      <c r="AQ11" s="14"/>
    </row>
    <row r="12" spans="1:43" ht="6.9" customHeight="1">
      <c r="B12" s="13"/>
      <c r="AQ12" s="14"/>
    </row>
    <row r="13" spans="1:43" ht="14.4" customHeight="1">
      <c r="B13" s="13"/>
      <c r="D13" s="15" t="s">
        <v>23</v>
      </c>
      <c r="AK13" s="15" t="s">
        <v>20</v>
      </c>
      <c r="AN13" s="167" t="s">
        <v>618</v>
      </c>
      <c r="AO13" s="167"/>
      <c r="AP13" s="167"/>
      <c r="AQ13" s="168"/>
    </row>
    <row r="14" spans="1:43" ht="13.2">
      <c r="B14" s="13"/>
      <c r="E14" s="166" t="s">
        <v>618</v>
      </c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  <c r="AK14" s="15" t="s">
        <v>22</v>
      </c>
      <c r="AN14" s="167" t="s">
        <v>618</v>
      </c>
      <c r="AO14" s="167"/>
      <c r="AP14" s="167"/>
      <c r="AQ14" s="168"/>
    </row>
    <row r="15" spans="1:43" ht="6.9" customHeight="1">
      <c r="B15" s="13"/>
      <c r="AQ15" s="14"/>
    </row>
    <row r="16" spans="1:43" ht="14.4" customHeight="1">
      <c r="B16" s="13"/>
      <c r="D16" s="15" t="s">
        <v>24</v>
      </c>
      <c r="AK16" s="15" t="s">
        <v>20</v>
      </c>
      <c r="AN16" s="20" t="s">
        <v>4</v>
      </c>
      <c r="AQ16" s="14"/>
    </row>
    <row r="17" spans="2:43" ht="18.45" customHeight="1">
      <c r="B17" s="13"/>
      <c r="E17" s="131" t="s">
        <v>483</v>
      </c>
      <c r="AK17" s="15" t="s">
        <v>22</v>
      </c>
      <c r="AN17" s="20" t="s">
        <v>4</v>
      </c>
      <c r="AQ17" s="14"/>
    </row>
    <row r="18" spans="2:43" ht="6.9" customHeight="1">
      <c r="B18" s="13"/>
      <c r="AQ18" s="14"/>
    </row>
    <row r="19" spans="2:43" ht="14.4" customHeight="1">
      <c r="B19" s="13"/>
      <c r="D19" s="15" t="s">
        <v>26</v>
      </c>
      <c r="AK19" s="15" t="s">
        <v>20</v>
      </c>
      <c r="AN19" s="20" t="s">
        <v>4</v>
      </c>
      <c r="AQ19" s="14"/>
    </row>
    <row r="20" spans="2:43" ht="18.45" customHeight="1">
      <c r="B20" s="13"/>
      <c r="E20" s="166" t="s">
        <v>618</v>
      </c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K20" s="15" t="s">
        <v>22</v>
      </c>
      <c r="AN20" s="20" t="s">
        <v>4</v>
      </c>
      <c r="AQ20" s="14"/>
    </row>
    <row r="21" spans="2:43" ht="6.9" customHeight="1">
      <c r="B21" s="13"/>
      <c r="AQ21" s="14"/>
    </row>
    <row r="22" spans="2:43" ht="13.2">
      <c r="B22" s="13"/>
      <c r="D22" s="15" t="s">
        <v>27</v>
      </c>
      <c r="AQ22" s="14"/>
    </row>
    <row r="23" spans="2:43" ht="16.5" customHeight="1">
      <c r="B23" s="13"/>
      <c r="E23" s="169" t="s">
        <v>4</v>
      </c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  <c r="AL23" s="169"/>
      <c r="AM23" s="169"/>
      <c r="AN23" s="169"/>
      <c r="AQ23" s="14"/>
    </row>
    <row r="24" spans="2:43" ht="6.9" customHeight="1">
      <c r="B24" s="13"/>
      <c r="AQ24" s="14"/>
    </row>
    <row r="25" spans="2:43" ht="6.9" customHeight="1">
      <c r="B25" s="13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  <c r="AQ25" s="14"/>
    </row>
    <row r="26" spans="2:43" ht="14.4" customHeight="1">
      <c r="B26" s="13"/>
      <c r="D26" s="116" t="s">
        <v>28</v>
      </c>
      <c r="AK26" s="156">
        <f>+AG87</f>
        <v>0</v>
      </c>
      <c r="AL26" s="157"/>
      <c r="AM26" s="157"/>
      <c r="AN26" s="157"/>
      <c r="AO26" s="157"/>
      <c r="AQ26" s="14"/>
    </row>
    <row r="27" spans="2:43" ht="14.4" customHeight="1">
      <c r="B27" s="13"/>
      <c r="D27" s="116" t="s">
        <v>29</v>
      </c>
      <c r="AK27" s="156">
        <f>ROUND(AG93,2)</f>
        <v>0</v>
      </c>
      <c r="AL27" s="156"/>
      <c r="AM27" s="156"/>
      <c r="AN27" s="156"/>
      <c r="AO27" s="156"/>
      <c r="AQ27" s="14"/>
    </row>
    <row r="28" spans="2:43" s="16" customFormat="1" ht="6.9" customHeight="1">
      <c r="B28" s="17"/>
      <c r="AQ28" s="19"/>
    </row>
    <row r="29" spans="2:43" s="16" customFormat="1" ht="25.95" customHeight="1">
      <c r="B29" s="17"/>
      <c r="D29" s="133" t="s">
        <v>30</v>
      </c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58">
        <f>ROUND(AK26+AK27,2)</f>
        <v>0</v>
      </c>
      <c r="AL29" s="159"/>
      <c r="AM29" s="159"/>
      <c r="AN29" s="159"/>
      <c r="AO29" s="159"/>
      <c r="AQ29" s="19"/>
    </row>
    <row r="30" spans="2:43" s="16" customFormat="1" ht="6.9" customHeight="1">
      <c r="B30" s="17"/>
      <c r="AQ30" s="19"/>
    </row>
    <row r="31" spans="2:43" s="136" customFormat="1" ht="14.4" customHeight="1">
      <c r="B31" s="135"/>
      <c r="D31" s="26" t="s">
        <v>31</v>
      </c>
      <c r="F31" s="26" t="s">
        <v>32</v>
      </c>
      <c r="L31" s="179">
        <v>0.21</v>
      </c>
      <c r="M31" s="175"/>
      <c r="N31" s="175"/>
      <c r="O31" s="175"/>
      <c r="T31" s="92" t="s">
        <v>33</v>
      </c>
      <c r="W31" s="174">
        <f>+AK29</f>
        <v>0</v>
      </c>
      <c r="X31" s="175"/>
      <c r="Y31" s="175"/>
      <c r="Z31" s="175"/>
      <c r="AA31" s="175"/>
      <c r="AB31" s="175"/>
      <c r="AC31" s="175"/>
      <c r="AD31" s="175"/>
      <c r="AE31" s="175"/>
      <c r="AK31" s="174">
        <f>+W31*0.21</f>
        <v>0</v>
      </c>
      <c r="AL31" s="175"/>
      <c r="AM31" s="175"/>
      <c r="AN31" s="175"/>
      <c r="AO31" s="175"/>
      <c r="AQ31" s="137"/>
    </row>
    <row r="32" spans="2:43" s="136" customFormat="1" ht="14.4" customHeight="1">
      <c r="B32" s="135"/>
      <c r="F32" s="26" t="s">
        <v>34</v>
      </c>
      <c r="L32" s="179">
        <v>0.15</v>
      </c>
      <c r="M32" s="175"/>
      <c r="N32" s="175"/>
      <c r="O32" s="175"/>
      <c r="T32" s="92" t="s">
        <v>33</v>
      </c>
      <c r="W32" s="174">
        <v>0</v>
      </c>
      <c r="X32" s="175"/>
      <c r="Y32" s="175"/>
      <c r="Z32" s="175"/>
      <c r="AA32" s="175"/>
      <c r="AB32" s="175"/>
      <c r="AC32" s="175"/>
      <c r="AD32" s="175"/>
      <c r="AE32" s="175"/>
      <c r="AK32" s="174">
        <v>0</v>
      </c>
      <c r="AL32" s="175"/>
      <c r="AM32" s="175"/>
      <c r="AN32" s="175"/>
      <c r="AO32" s="175"/>
      <c r="AQ32" s="137"/>
    </row>
    <row r="33" spans="2:43" s="136" customFormat="1" ht="14.4" hidden="1" customHeight="1">
      <c r="B33" s="135"/>
      <c r="F33" s="26" t="s">
        <v>35</v>
      </c>
      <c r="L33" s="179">
        <v>0.21</v>
      </c>
      <c r="M33" s="175"/>
      <c r="N33" s="175"/>
      <c r="O33" s="175"/>
      <c r="T33" s="92" t="s">
        <v>33</v>
      </c>
      <c r="W33" s="174" t="e">
        <f>ROUND(#REF!+SUM(#REF!),2)</f>
        <v>#REF!</v>
      </c>
      <c r="X33" s="175"/>
      <c r="Y33" s="175"/>
      <c r="Z33" s="175"/>
      <c r="AA33" s="175"/>
      <c r="AB33" s="175"/>
      <c r="AC33" s="175"/>
      <c r="AD33" s="175"/>
      <c r="AE33" s="175"/>
      <c r="AK33" s="174">
        <v>0</v>
      </c>
      <c r="AL33" s="175"/>
      <c r="AM33" s="175"/>
      <c r="AN33" s="175"/>
      <c r="AO33" s="175"/>
      <c r="AQ33" s="137"/>
    </row>
    <row r="34" spans="2:43" s="136" customFormat="1" ht="14.4" hidden="1" customHeight="1">
      <c r="B34" s="135"/>
      <c r="F34" s="26" t="s">
        <v>36</v>
      </c>
      <c r="L34" s="179">
        <v>0.15</v>
      </c>
      <c r="M34" s="175"/>
      <c r="N34" s="175"/>
      <c r="O34" s="175"/>
      <c r="T34" s="92" t="s">
        <v>33</v>
      </c>
      <c r="W34" s="174" t="e">
        <f>ROUND(#REF!+SUM(#REF!),2)</f>
        <v>#REF!</v>
      </c>
      <c r="X34" s="175"/>
      <c r="Y34" s="175"/>
      <c r="Z34" s="175"/>
      <c r="AA34" s="175"/>
      <c r="AB34" s="175"/>
      <c r="AC34" s="175"/>
      <c r="AD34" s="175"/>
      <c r="AE34" s="175"/>
      <c r="AK34" s="174">
        <v>0</v>
      </c>
      <c r="AL34" s="175"/>
      <c r="AM34" s="175"/>
      <c r="AN34" s="175"/>
      <c r="AO34" s="175"/>
      <c r="AQ34" s="137"/>
    </row>
    <row r="35" spans="2:43" s="136" customFormat="1" ht="14.4" hidden="1" customHeight="1">
      <c r="B35" s="135"/>
      <c r="F35" s="26" t="s">
        <v>37</v>
      </c>
      <c r="L35" s="179">
        <v>0</v>
      </c>
      <c r="M35" s="175"/>
      <c r="N35" s="175"/>
      <c r="O35" s="175"/>
      <c r="T35" s="92" t="s">
        <v>33</v>
      </c>
      <c r="W35" s="174" t="e">
        <f>ROUND(#REF!+SUM(#REF!),2)</f>
        <v>#REF!</v>
      </c>
      <c r="X35" s="175"/>
      <c r="Y35" s="175"/>
      <c r="Z35" s="175"/>
      <c r="AA35" s="175"/>
      <c r="AB35" s="175"/>
      <c r="AC35" s="175"/>
      <c r="AD35" s="175"/>
      <c r="AE35" s="175"/>
      <c r="AK35" s="174">
        <v>0</v>
      </c>
      <c r="AL35" s="175"/>
      <c r="AM35" s="175"/>
      <c r="AN35" s="175"/>
      <c r="AO35" s="175"/>
      <c r="AQ35" s="137"/>
    </row>
    <row r="36" spans="2:43" s="16" customFormat="1" ht="6.9" customHeight="1">
      <c r="B36" s="17"/>
      <c r="AQ36" s="19"/>
    </row>
    <row r="37" spans="2:43" s="16" customFormat="1" ht="25.95" customHeight="1">
      <c r="B37" s="17"/>
      <c r="C37" s="138"/>
      <c r="D37" s="139" t="s">
        <v>38</v>
      </c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1" t="s">
        <v>39</v>
      </c>
      <c r="U37" s="140"/>
      <c r="V37" s="140"/>
      <c r="W37" s="140"/>
      <c r="X37" s="184" t="s">
        <v>40</v>
      </c>
      <c r="Y37" s="185"/>
      <c r="Z37" s="185"/>
      <c r="AA37" s="185"/>
      <c r="AB37" s="185"/>
      <c r="AC37" s="140"/>
      <c r="AD37" s="140"/>
      <c r="AE37" s="140"/>
      <c r="AF37" s="140"/>
      <c r="AG37" s="140"/>
      <c r="AH37" s="140"/>
      <c r="AI37" s="140"/>
      <c r="AJ37" s="140"/>
      <c r="AK37" s="186">
        <f>SUM(AK29:AK35)</f>
        <v>0</v>
      </c>
      <c r="AL37" s="185"/>
      <c r="AM37" s="185"/>
      <c r="AN37" s="185"/>
      <c r="AO37" s="187"/>
      <c r="AP37" s="138"/>
      <c r="AQ37" s="19"/>
    </row>
    <row r="38" spans="2:43" s="16" customFormat="1" ht="14.4" customHeight="1">
      <c r="B38" s="17"/>
      <c r="AQ38" s="19"/>
    </row>
    <row r="39" spans="2:43">
      <c r="B39" s="13"/>
      <c r="AQ39" s="14"/>
    </row>
    <row r="40" spans="2:43">
      <c r="B40" s="13"/>
      <c r="AQ40" s="14"/>
    </row>
    <row r="41" spans="2:43">
      <c r="B41" s="13"/>
      <c r="AQ41" s="14"/>
    </row>
    <row r="42" spans="2:43">
      <c r="B42" s="13"/>
      <c r="AQ42" s="14"/>
    </row>
    <row r="43" spans="2:43">
      <c r="B43" s="13"/>
      <c r="AQ43" s="14"/>
    </row>
    <row r="44" spans="2:43">
      <c r="B44" s="13"/>
      <c r="AQ44" s="14"/>
    </row>
    <row r="45" spans="2:43">
      <c r="B45" s="13"/>
      <c r="AQ45" s="14"/>
    </row>
    <row r="46" spans="2:43">
      <c r="B46" s="13"/>
      <c r="AQ46" s="14"/>
    </row>
    <row r="47" spans="2:43">
      <c r="B47" s="13"/>
      <c r="AQ47" s="14"/>
    </row>
    <row r="48" spans="2:43">
      <c r="B48" s="13"/>
      <c r="AQ48" s="14"/>
    </row>
    <row r="49" spans="2:43" s="16" customFormat="1" ht="14.4">
      <c r="B49" s="17"/>
      <c r="D49" s="34" t="s">
        <v>41</v>
      </c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35"/>
      <c r="AC49" s="34" t="s">
        <v>42</v>
      </c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35"/>
      <c r="AQ49" s="19"/>
    </row>
    <row r="50" spans="2:43">
      <c r="B50" s="13"/>
      <c r="D50" s="36"/>
      <c r="Z50" s="37"/>
      <c r="AC50" s="36"/>
      <c r="AO50" s="37"/>
      <c r="AQ50" s="14"/>
    </row>
    <row r="51" spans="2:43">
      <c r="B51" s="13"/>
      <c r="D51" s="36"/>
      <c r="Z51" s="37"/>
      <c r="AC51" s="36"/>
      <c r="AO51" s="37"/>
      <c r="AQ51" s="14"/>
    </row>
    <row r="52" spans="2:43">
      <c r="B52" s="13"/>
      <c r="D52" s="36"/>
      <c r="Z52" s="37"/>
      <c r="AC52" s="36"/>
      <c r="AO52" s="37"/>
      <c r="AQ52" s="14"/>
    </row>
    <row r="53" spans="2:43">
      <c r="B53" s="13"/>
      <c r="D53" s="36"/>
      <c r="Z53" s="37"/>
      <c r="AC53" s="36"/>
      <c r="AO53" s="37"/>
      <c r="AQ53" s="14"/>
    </row>
    <row r="54" spans="2:43">
      <c r="B54" s="13"/>
      <c r="D54" s="36"/>
      <c r="Z54" s="37"/>
      <c r="AC54" s="36"/>
      <c r="AO54" s="37"/>
      <c r="AQ54" s="14"/>
    </row>
    <row r="55" spans="2:43">
      <c r="B55" s="13"/>
      <c r="D55" s="36"/>
      <c r="Z55" s="37"/>
      <c r="AC55" s="36"/>
      <c r="AO55" s="37"/>
      <c r="AQ55" s="14"/>
    </row>
    <row r="56" spans="2:43">
      <c r="B56" s="13"/>
      <c r="D56" s="36"/>
      <c r="Z56" s="37"/>
      <c r="AC56" s="36"/>
      <c r="AO56" s="37"/>
      <c r="AQ56" s="14"/>
    </row>
    <row r="57" spans="2:43">
      <c r="B57" s="13"/>
      <c r="D57" s="36"/>
      <c r="Z57" s="37"/>
      <c r="AC57" s="36"/>
      <c r="AO57" s="37"/>
      <c r="AQ57" s="14"/>
    </row>
    <row r="58" spans="2:43" s="16" customFormat="1" ht="14.4">
      <c r="B58" s="17"/>
      <c r="D58" s="38" t="s">
        <v>43</v>
      </c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40" t="s">
        <v>44</v>
      </c>
      <c r="S58" s="39"/>
      <c r="T58" s="39"/>
      <c r="U58" s="39"/>
      <c r="V58" s="39"/>
      <c r="W58" s="39"/>
      <c r="X58" s="39"/>
      <c r="Y58" s="39"/>
      <c r="Z58" s="41"/>
      <c r="AC58" s="38" t="s">
        <v>43</v>
      </c>
      <c r="AD58" s="39"/>
      <c r="AE58" s="39"/>
      <c r="AF58" s="39"/>
      <c r="AG58" s="39"/>
      <c r="AH58" s="39"/>
      <c r="AI58" s="39"/>
      <c r="AJ58" s="39"/>
      <c r="AK58" s="39"/>
      <c r="AL58" s="39"/>
      <c r="AM58" s="40" t="s">
        <v>44</v>
      </c>
      <c r="AN58" s="39"/>
      <c r="AO58" s="41"/>
      <c r="AQ58" s="19"/>
    </row>
    <row r="59" spans="2:43">
      <c r="B59" s="13"/>
      <c r="AQ59" s="14"/>
    </row>
    <row r="60" spans="2:43" s="16" customFormat="1" ht="14.4">
      <c r="B60" s="17"/>
      <c r="D60" s="34" t="s">
        <v>45</v>
      </c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35"/>
      <c r="AC60" s="34" t="s">
        <v>46</v>
      </c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35"/>
      <c r="AQ60" s="19"/>
    </row>
    <row r="61" spans="2:43">
      <c r="B61" s="13"/>
      <c r="D61" s="36"/>
      <c r="Z61" s="37"/>
      <c r="AC61" s="36"/>
      <c r="AO61" s="37"/>
      <c r="AQ61" s="14"/>
    </row>
    <row r="62" spans="2:43">
      <c r="B62" s="13"/>
      <c r="D62" s="36"/>
      <c r="Z62" s="37"/>
      <c r="AC62" s="36"/>
      <c r="AO62" s="37"/>
      <c r="AQ62" s="14"/>
    </row>
    <row r="63" spans="2:43">
      <c r="B63" s="13"/>
      <c r="D63" s="36"/>
      <c r="Z63" s="37"/>
      <c r="AC63" s="36"/>
      <c r="AO63" s="37"/>
      <c r="AQ63" s="14"/>
    </row>
    <row r="64" spans="2:43">
      <c r="B64" s="13"/>
      <c r="D64" s="36"/>
      <c r="Z64" s="37"/>
      <c r="AC64" s="36"/>
      <c r="AO64" s="37"/>
      <c r="AQ64" s="14"/>
    </row>
    <row r="65" spans="2:43">
      <c r="B65" s="13"/>
      <c r="D65" s="36"/>
      <c r="Z65" s="37"/>
      <c r="AC65" s="36"/>
      <c r="AO65" s="37"/>
      <c r="AQ65" s="14"/>
    </row>
    <row r="66" spans="2:43">
      <c r="B66" s="13"/>
      <c r="D66" s="36"/>
      <c r="Z66" s="37"/>
      <c r="AC66" s="36"/>
      <c r="AO66" s="37"/>
      <c r="AQ66" s="14"/>
    </row>
    <row r="67" spans="2:43">
      <c r="B67" s="13"/>
      <c r="D67" s="36"/>
      <c r="Z67" s="37"/>
      <c r="AC67" s="36"/>
      <c r="AO67" s="37"/>
      <c r="AQ67" s="14"/>
    </row>
    <row r="68" spans="2:43">
      <c r="B68" s="13"/>
      <c r="D68" s="36"/>
      <c r="Z68" s="37"/>
      <c r="AC68" s="36"/>
      <c r="AO68" s="37"/>
      <c r="AQ68" s="14"/>
    </row>
    <row r="69" spans="2:43" s="16" customFormat="1" ht="14.4">
      <c r="B69" s="17"/>
      <c r="D69" s="38" t="s">
        <v>43</v>
      </c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40" t="s">
        <v>44</v>
      </c>
      <c r="S69" s="39"/>
      <c r="T69" s="39"/>
      <c r="U69" s="39"/>
      <c r="V69" s="39"/>
      <c r="W69" s="39"/>
      <c r="X69" s="39"/>
      <c r="Y69" s="39"/>
      <c r="Z69" s="41"/>
      <c r="AC69" s="38" t="s">
        <v>43</v>
      </c>
      <c r="AD69" s="39"/>
      <c r="AE69" s="39"/>
      <c r="AF69" s="39"/>
      <c r="AG69" s="39"/>
      <c r="AH69" s="39"/>
      <c r="AI69" s="39"/>
      <c r="AJ69" s="39"/>
      <c r="AK69" s="39"/>
      <c r="AL69" s="39"/>
      <c r="AM69" s="40" t="s">
        <v>44</v>
      </c>
      <c r="AN69" s="39"/>
      <c r="AO69" s="41"/>
      <c r="AQ69" s="19"/>
    </row>
    <row r="70" spans="2:43" s="16" customFormat="1" ht="6.9" customHeight="1">
      <c r="B70" s="17"/>
      <c r="AQ70" s="19"/>
    </row>
    <row r="71" spans="2:43" s="16" customFormat="1" ht="6.9" customHeight="1"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4"/>
    </row>
    <row r="75" spans="2:43" s="16" customFormat="1" ht="6.9" customHeight="1">
      <c r="B75" s="45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7"/>
    </row>
    <row r="76" spans="2:43" s="16" customFormat="1" ht="36.9" customHeight="1">
      <c r="B76" s="17"/>
      <c r="C76" s="162" t="s">
        <v>47</v>
      </c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63"/>
      <c r="AA76" s="163"/>
      <c r="AB76" s="163"/>
      <c r="AC76" s="163"/>
      <c r="AD76" s="163"/>
      <c r="AE76" s="163"/>
      <c r="AF76" s="163"/>
      <c r="AG76" s="163"/>
      <c r="AH76" s="163"/>
      <c r="AI76" s="163"/>
      <c r="AJ76" s="163"/>
      <c r="AK76" s="163"/>
      <c r="AL76" s="163"/>
      <c r="AM76" s="163"/>
      <c r="AN76" s="163"/>
      <c r="AO76" s="163"/>
      <c r="AP76" s="163"/>
      <c r="AQ76" s="19"/>
    </row>
    <row r="77" spans="2:43" s="143" customFormat="1" ht="14.4" customHeight="1">
      <c r="B77" s="142"/>
      <c r="C77" s="15" t="s">
        <v>10</v>
      </c>
      <c r="L77" s="143" t="str">
        <f>K5</f>
        <v>MS-Srdiicko-v-Praze-</v>
      </c>
      <c r="AQ77" s="144"/>
    </row>
    <row r="78" spans="2:43" s="146" customFormat="1" ht="36.9" customHeight="1">
      <c r="B78" s="145"/>
      <c r="C78" s="48" t="s">
        <v>12</v>
      </c>
      <c r="L78" s="188" t="str">
        <f>K6</f>
        <v>Revitalizace objektu MŠ-Srdíčko v Praze 12</v>
      </c>
      <c r="M78" s="189"/>
      <c r="N78" s="189"/>
      <c r="O78" s="189"/>
      <c r="P78" s="189"/>
      <c r="Q78" s="189"/>
      <c r="R78" s="189"/>
      <c r="S78" s="189"/>
      <c r="T78" s="189"/>
      <c r="U78" s="189"/>
      <c r="V78" s="189"/>
      <c r="W78" s="189"/>
      <c r="X78" s="189"/>
      <c r="Y78" s="189"/>
      <c r="Z78" s="189"/>
      <c r="AA78" s="189"/>
      <c r="AB78" s="189"/>
      <c r="AC78" s="189"/>
      <c r="AD78" s="189"/>
      <c r="AE78" s="189"/>
      <c r="AF78" s="189"/>
      <c r="AG78" s="189"/>
      <c r="AH78" s="189"/>
      <c r="AI78" s="189"/>
      <c r="AJ78" s="189"/>
      <c r="AK78" s="189"/>
      <c r="AL78" s="189"/>
      <c r="AM78" s="189"/>
      <c r="AN78" s="189"/>
      <c r="AO78" s="189"/>
      <c r="AQ78" s="147"/>
    </row>
    <row r="79" spans="2:43" s="16" customFormat="1" ht="6.9" customHeight="1">
      <c r="B79" s="17"/>
      <c r="AQ79" s="19"/>
    </row>
    <row r="80" spans="2:43" s="16" customFormat="1" ht="13.2">
      <c r="B80" s="17"/>
      <c r="C80" s="15" t="s">
        <v>16</v>
      </c>
      <c r="L80" s="148" t="str">
        <f>IF(K8="","",K8)</f>
        <v>Levského 3203/19, Praha 12 - Modřany</v>
      </c>
      <c r="AI80" s="15" t="s">
        <v>18</v>
      </c>
      <c r="AM80" s="190">
        <v>45311</v>
      </c>
      <c r="AN80" s="191"/>
      <c r="AQ80" s="19"/>
    </row>
    <row r="81" spans="1:43" s="16" customFormat="1" ht="6.9" customHeight="1">
      <c r="B81" s="17"/>
      <c r="AQ81" s="19"/>
    </row>
    <row r="82" spans="1:43" s="16" customFormat="1" ht="13.2">
      <c r="B82" s="17"/>
      <c r="C82" s="15" t="s">
        <v>19</v>
      </c>
      <c r="L82" s="143" t="str">
        <f>IF(E11= "","",E11)</f>
        <v>Městská část Praha 12-Úřad městské části Praha 12</v>
      </c>
      <c r="AI82" s="15" t="s">
        <v>24</v>
      </c>
      <c r="AM82" s="176" t="str">
        <f>IF(E17="","",E17)</f>
        <v xml:space="preserve"> Pavel Chrobok - Projektová kancelář ATLAS s.r.o.</v>
      </c>
      <c r="AN82" s="176"/>
      <c r="AO82" s="176"/>
      <c r="AP82" s="176"/>
      <c r="AQ82" s="19"/>
    </row>
    <row r="83" spans="1:43" s="16" customFormat="1" ht="13.2">
      <c r="B83" s="17"/>
      <c r="C83" s="15" t="s">
        <v>23</v>
      </c>
      <c r="L83" s="143" t="str">
        <f>IF(E14="","",E14)</f>
        <v>Vyplň údaj</v>
      </c>
      <c r="AI83" s="15" t="s">
        <v>26</v>
      </c>
      <c r="AM83" s="176" t="str">
        <f>IF(E20="","",E20)</f>
        <v>Vyplň údaj</v>
      </c>
      <c r="AN83" s="176"/>
      <c r="AO83" s="176"/>
      <c r="AP83" s="176"/>
      <c r="AQ83" s="19"/>
    </row>
    <row r="84" spans="1:43" s="16" customFormat="1" ht="10.95" customHeight="1">
      <c r="B84" s="17"/>
      <c r="AQ84" s="19"/>
    </row>
    <row r="85" spans="1:43" s="16" customFormat="1" ht="29.25" customHeight="1">
      <c r="B85" s="17"/>
      <c r="C85" s="180" t="s">
        <v>48</v>
      </c>
      <c r="D85" s="181"/>
      <c r="E85" s="181"/>
      <c r="F85" s="181"/>
      <c r="G85" s="181"/>
      <c r="H85" s="31"/>
      <c r="I85" s="182" t="s">
        <v>49</v>
      </c>
      <c r="J85" s="181"/>
      <c r="K85" s="181"/>
      <c r="L85" s="181"/>
      <c r="M85" s="181"/>
      <c r="N85" s="181"/>
      <c r="O85" s="181"/>
      <c r="P85" s="181"/>
      <c r="Q85" s="181"/>
      <c r="R85" s="181"/>
      <c r="S85" s="181"/>
      <c r="T85" s="181"/>
      <c r="U85" s="181"/>
      <c r="V85" s="181"/>
      <c r="W85" s="181"/>
      <c r="X85" s="181"/>
      <c r="Y85" s="181"/>
      <c r="Z85" s="181"/>
      <c r="AA85" s="181"/>
      <c r="AB85" s="181"/>
      <c r="AC85" s="181"/>
      <c r="AD85" s="181"/>
      <c r="AE85" s="181"/>
      <c r="AF85" s="181"/>
      <c r="AG85" s="182" t="s">
        <v>50</v>
      </c>
      <c r="AH85" s="181"/>
      <c r="AI85" s="181"/>
      <c r="AJ85" s="181"/>
      <c r="AK85" s="181"/>
      <c r="AL85" s="181"/>
      <c r="AM85" s="181"/>
      <c r="AN85" s="182" t="s">
        <v>51</v>
      </c>
      <c r="AO85" s="181"/>
      <c r="AP85" s="183"/>
      <c r="AQ85" s="19"/>
    </row>
    <row r="86" spans="1:43" s="16" customFormat="1" ht="10.95" customHeight="1">
      <c r="B86" s="17"/>
      <c r="AQ86" s="19"/>
    </row>
    <row r="87" spans="1:43" s="146" customFormat="1" ht="32.4" customHeight="1">
      <c r="B87" s="145"/>
      <c r="C87" s="71" t="s">
        <v>52</v>
      </c>
      <c r="D87" s="149"/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49"/>
      <c r="Y87" s="149"/>
      <c r="Z87" s="149"/>
      <c r="AA87" s="149"/>
      <c r="AB87" s="149"/>
      <c r="AC87" s="149"/>
      <c r="AD87" s="149"/>
      <c r="AE87" s="149"/>
      <c r="AF87" s="149"/>
      <c r="AG87" s="178">
        <f>SUM(AG88:AM91)</f>
        <v>0</v>
      </c>
      <c r="AH87" s="178"/>
      <c r="AI87" s="178"/>
      <c r="AJ87" s="178"/>
      <c r="AK87" s="178"/>
      <c r="AL87" s="178"/>
      <c r="AM87" s="178"/>
      <c r="AN87" s="170">
        <f>SUM(AN88:AP91)</f>
        <v>0</v>
      </c>
      <c r="AO87" s="170"/>
      <c r="AP87" s="170"/>
      <c r="AQ87" s="147"/>
    </row>
    <row r="88" spans="1:43" s="155" customFormat="1" ht="47.25" customHeight="1">
      <c r="A88" s="150" t="s">
        <v>55</v>
      </c>
      <c r="B88" s="151"/>
      <c r="C88" s="152"/>
      <c r="D88" s="177" t="s">
        <v>469</v>
      </c>
      <c r="E88" s="177"/>
      <c r="F88" s="177"/>
      <c r="G88" s="177"/>
      <c r="H88" s="177"/>
      <c r="I88" s="153"/>
      <c r="J88" s="177" t="str">
        <f>+'obj. A - plášť'!F7</f>
        <v>obj. A - Zateplení obvodového pláště a stropu</v>
      </c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  <c r="AA88" s="177"/>
      <c r="AB88" s="177"/>
      <c r="AC88" s="177"/>
      <c r="AD88" s="177"/>
      <c r="AE88" s="177"/>
      <c r="AF88" s="177"/>
      <c r="AG88" s="172">
        <f>'obj. A - plášť'!M30</f>
        <v>0</v>
      </c>
      <c r="AH88" s="173"/>
      <c r="AI88" s="173"/>
      <c r="AJ88" s="173"/>
      <c r="AK88" s="173"/>
      <c r="AL88" s="173"/>
      <c r="AM88" s="173"/>
      <c r="AN88" s="172">
        <f>+AG88*1.21</f>
        <v>0</v>
      </c>
      <c r="AO88" s="173"/>
      <c r="AP88" s="173"/>
      <c r="AQ88" s="154"/>
    </row>
    <row r="89" spans="1:43" s="155" customFormat="1" ht="31.5" customHeight="1">
      <c r="A89" s="150" t="s">
        <v>55</v>
      </c>
      <c r="B89" s="151"/>
      <c r="C89" s="152"/>
      <c r="D89" s="177" t="s">
        <v>58</v>
      </c>
      <c r="E89" s="177"/>
      <c r="F89" s="177"/>
      <c r="G89" s="177"/>
      <c r="H89" s="177"/>
      <c r="I89" s="153"/>
      <c r="J89" s="177" t="str">
        <f>+'obj. B - střecha'!F7</f>
        <v>obj. B - Zateplení střechy</v>
      </c>
      <c r="K89" s="177"/>
      <c r="L89" s="177"/>
      <c r="M89" s="177"/>
      <c r="N89" s="177"/>
      <c r="O89" s="177"/>
      <c r="P89" s="177"/>
      <c r="Q89" s="177"/>
      <c r="R89" s="177"/>
      <c r="S89" s="177"/>
      <c r="T89" s="177"/>
      <c r="U89" s="177"/>
      <c r="V89" s="177"/>
      <c r="W89" s="177"/>
      <c r="X89" s="177"/>
      <c r="Y89" s="177"/>
      <c r="Z89" s="177"/>
      <c r="AA89" s="177"/>
      <c r="AB89" s="177"/>
      <c r="AC89" s="177"/>
      <c r="AD89" s="177"/>
      <c r="AE89" s="177"/>
      <c r="AF89" s="177"/>
      <c r="AG89" s="172">
        <f>'obj. B - střecha'!M30</f>
        <v>0</v>
      </c>
      <c r="AH89" s="173"/>
      <c r="AI89" s="173"/>
      <c r="AJ89" s="173"/>
      <c r="AK89" s="173"/>
      <c r="AL89" s="173"/>
      <c r="AM89" s="173"/>
      <c r="AN89" s="172">
        <f t="shared" ref="AN89:AN91" si="0">+AG89*1.21</f>
        <v>0</v>
      </c>
      <c r="AO89" s="173"/>
      <c r="AP89" s="173"/>
      <c r="AQ89" s="154"/>
    </row>
    <row r="90" spans="1:43" s="155" customFormat="1" ht="31.5" customHeight="1">
      <c r="A90" s="150" t="s">
        <v>55</v>
      </c>
      <c r="B90" s="151"/>
      <c r="C90" s="152"/>
      <c r="D90" s="177" t="s">
        <v>59</v>
      </c>
      <c r="E90" s="177"/>
      <c r="F90" s="177"/>
      <c r="G90" s="177"/>
      <c r="H90" s="177"/>
      <c r="I90" s="153"/>
      <c r="J90" s="177" t="str">
        <f>+'obj. C -VZT '!F7</f>
        <v>obj. C -VZT s rekuperací vzduchu</v>
      </c>
      <c r="K90" s="177"/>
      <c r="L90" s="177"/>
      <c r="M90" s="177"/>
      <c r="N90" s="177"/>
      <c r="O90" s="177"/>
      <c r="P90" s="177"/>
      <c r="Q90" s="177"/>
      <c r="R90" s="177"/>
      <c r="S90" s="177"/>
      <c r="T90" s="177"/>
      <c r="U90" s="177"/>
      <c r="V90" s="177"/>
      <c r="W90" s="177"/>
      <c r="X90" s="177"/>
      <c r="Y90" s="177"/>
      <c r="Z90" s="177"/>
      <c r="AA90" s="177"/>
      <c r="AB90" s="177"/>
      <c r="AC90" s="177"/>
      <c r="AD90" s="177"/>
      <c r="AE90" s="177"/>
      <c r="AF90" s="177"/>
      <c r="AG90" s="172">
        <f>'obj. C -VZT '!M30</f>
        <v>0</v>
      </c>
      <c r="AH90" s="173"/>
      <c r="AI90" s="173"/>
      <c r="AJ90" s="173"/>
      <c r="AK90" s="173"/>
      <c r="AL90" s="173"/>
      <c r="AM90" s="173"/>
      <c r="AN90" s="172">
        <f t="shared" si="0"/>
        <v>0</v>
      </c>
      <c r="AO90" s="173"/>
      <c r="AP90" s="173"/>
      <c r="AQ90" s="154"/>
    </row>
    <row r="91" spans="1:43" s="155" customFormat="1" ht="31.5" customHeight="1">
      <c r="A91" s="150" t="s">
        <v>55</v>
      </c>
      <c r="B91" s="151"/>
      <c r="C91" s="152"/>
      <c r="D91" s="177" t="s">
        <v>471</v>
      </c>
      <c r="E91" s="177"/>
      <c r="F91" s="177"/>
      <c r="G91" s="177"/>
      <c r="H91" s="177"/>
      <c r="I91" s="153"/>
      <c r="J91" s="177" t="str">
        <f>+'obj. D - stínění'!F7</f>
        <v>obj. D - Stínění (žaluzie)</v>
      </c>
      <c r="K91" s="177"/>
      <c r="L91" s="177"/>
      <c r="M91" s="177"/>
      <c r="N91" s="177"/>
      <c r="O91" s="177"/>
      <c r="P91" s="177"/>
      <c r="Q91" s="177"/>
      <c r="R91" s="177"/>
      <c r="S91" s="177"/>
      <c r="T91" s="177"/>
      <c r="U91" s="177"/>
      <c r="V91" s="177"/>
      <c r="W91" s="177"/>
      <c r="X91" s="177"/>
      <c r="Y91" s="177"/>
      <c r="Z91" s="177"/>
      <c r="AA91" s="177"/>
      <c r="AB91" s="177"/>
      <c r="AC91" s="177"/>
      <c r="AD91" s="177"/>
      <c r="AE91" s="177"/>
      <c r="AF91" s="177"/>
      <c r="AG91" s="172">
        <f>+'obj. D - stínění'!M27</f>
        <v>0</v>
      </c>
      <c r="AH91" s="173"/>
      <c r="AI91" s="173"/>
      <c r="AJ91" s="173"/>
      <c r="AK91" s="173"/>
      <c r="AL91" s="173"/>
      <c r="AM91" s="173"/>
      <c r="AN91" s="172">
        <f t="shared" si="0"/>
        <v>0</v>
      </c>
      <c r="AO91" s="173"/>
      <c r="AP91" s="173"/>
      <c r="AQ91" s="154"/>
    </row>
    <row r="92" spans="1:43">
      <c r="B92" s="13"/>
      <c r="AQ92" s="14"/>
    </row>
    <row r="93" spans="1:43" s="16" customFormat="1" ht="30" customHeight="1">
      <c r="B93" s="17"/>
      <c r="C93" s="71"/>
      <c r="AG93" s="170"/>
      <c r="AH93" s="170"/>
      <c r="AI93" s="170"/>
      <c r="AJ93" s="170"/>
      <c r="AK93" s="170"/>
      <c r="AL93" s="170"/>
      <c r="AM93" s="170"/>
      <c r="AN93" s="170"/>
      <c r="AO93" s="170"/>
      <c r="AP93" s="170"/>
      <c r="AQ93" s="19"/>
    </row>
    <row r="94" spans="1:43" s="16" customFormat="1" ht="10.95" customHeight="1">
      <c r="B94" s="17"/>
      <c r="AQ94" s="19"/>
    </row>
    <row r="95" spans="1:43" s="16" customFormat="1" ht="30" customHeight="1">
      <c r="B95" s="17"/>
      <c r="C95" s="61" t="s">
        <v>61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171">
        <f>ROUND(AG87+AG93,2)</f>
        <v>0</v>
      </c>
      <c r="AH95" s="171"/>
      <c r="AI95" s="171"/>
      <c r="AJ95" s="171"/>
      <c r="AK95" s="171"/>
      <c r="AL95" s="171"/>
      <c r="AM95" s="171"/>
      <c r="AN95" s="171">
        <f>AN87+AN93</f>
        <v>0</v>
      </c>
      <c r="AO95" s="171"/>
      <c r="AP95" s="171"/>
      <c r="AQ95" s="19"/>
    </row>
    <row r="96" spans="1:43" s="16" customFormat="1" ht="6.9" customHeight="1">
      <c r="B96" s="42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4"/>
    </row>
  </sheetData>
  <sheetProtection algorithmName="SHA-512" hashValue="7qmlWEHJRoNhxExv0CKO1wy3L8IKDTroLItBhdt0bdlqLB4BFYJnindCi7OATEZb8LKZ0SM1p3rNTU7XDrRMgg==" saltValue="KA3lhTnHUILhPd6uIEoQ9Q==" spinCount="100000" sheet="1" objects="1" scenarios="1" selectLockedCells="1"/>
  <mergeCells count="61">
    <mergeCell ref="D91:H91"/>
    <mergeCell ref="J91:AF91"/>
    <mergeCell ref="AG91:AM91"/>
    <mergeCell ref="AN91:AP91"/>
    <mergeCell ref="L31:O31"/>
    <mergeCell ref="W31:AE31"/>
    <mergeCell ref="AK31:AO31"/>
    <mergeCell ref="L32:O32"/>
    <mergeCell ref="W32:AE32"/>
    <mergeCell ref="AK32:AO32"/>
    <mergeCell ref="L33:O33"/>
    <mergeCell ref="W33:AE33"/>
    <mergeCell ref="AK33:AO33"/>
    <mergeCell ref="L34:O34"/>
    <mergeCell ref="AM80:AN80"/>
    <mergeCell ref="W34:AE34"/>
    <mergeCell ref="AK35:AO35"/>
    <mergeCell ref="C85:G85"/>
    <mergeCell ref="I85:AF85"/>
    <mergeCell ref="AG85:AM85"/>
    <mergeCell ref="AN85:AP85"/>
    <mergeCell ref="X37:AB37"/>
    <mergeCell ref="AK37:AO37"/>
    <mergeCell ref="C76:AP76"/>
    <mergeCell ref="L78:AO78"/>
    <mergeCell ref="AM82:AP82"/>
    <mergeCell ref="AK34:AO34"/>
    <mergeCell ref="AM83:AP83"/>
    <mergeCell ref="D90:H90"/>
    <mergeCell ref="J90:AF90"/>
    <mergeCell ref="AG87:AM87"/>
    <mergeCell ref="AN87:AP87"/>
    <mergeCell ref="AN88:AP88"/>
    <mergeCell ref="AG88:AM88"/>
    <mergeCell ref="D88:H88"/>
    <mergeCell ref="J88:AF88"/>
    <mergeCell ref="AN89:AP89"/>
    <mergeCell ref="AG89:AM89"/>
    <mergeCell ref="D89:H89"/>
    <mergeCell ref="J89:AF89"/>
    <mergeCell ref="L35:O35"/>
    <mergeCell ref="W35:AE35"/>
    <mergeCell ref="AG93:AM93"/>
    <mergeCell ref="AN93:AP93"/>
    <mergeCell ref="AG95:AM95"/>
    <mergeCell ref="AN95:AP95"/>
    <mergeCell ref="AN90:AP90"/>
    <mergeCell ref="AG90:AM90"/>
    <mergeCell ref="AK26:AO26"/>
    <mergeCell ref="AK27:AO27"/>
    <mergeCell ref="AK29:AO29"/>
    <mergeCell ref="C2:AP2"/>
    <mergeCell ref="C4:AP4"/>
    <mergeCell ref="K5:AO5"/>
    <mergeCell ref="K6:AO6"/>
    <mergeCell ref="E14:AI14"/>
    <mergeCell ref="E20:AI20"/>
    <mergeCell ref="AN13:AQ13"/>
    <mergeCell ref="AN14:AQ14"/>
    <mergeCell ref="AN8:AQ8"/>
    <mergeCell ref="E23:AN23"/>
  </mergeCells>
  <hyperlinks>
    <hyperlink ref="K1:S1" location="C2" display="1) Souhrnný list stavby" xr:uid="{00000000-0004-0000-0000-000000000000}"/>
    <hyperlink ref="W1:AF1" location="C87" display="2) Rekapitulace objektů" xr:uid="{00000000-0004-0000-0000-000001000000}"/>
    <hyperlink ref="A88" location="'obj. A (1) - obj. A - Zat...'!C2" display="/" xr:uid="{00000000-0004-0000-0000-000002000000}"/>
    <hyperlink ref="A89" location="'obj. B - obj. B - Zateple...'!C2" display="/" xr:uid="{00000000-0004-0000-0000-000003000000}"/>
    <hyperlink ref="A90" location="'obj. - C - obj. C -VZT s ...'!C2" display="/" xr:uid="{00000000-0004-0000-0000-000004000000}"/>
    <hyperlink ref="A91" location="'obj. - C - obj. C -VZT s ...'!C2" display="/" xr:uid="{C6AD8166-F423-4B54-AA30-93B848E1B8AF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S270"/>
  <sheetViews>
    <sheetView showGridLines="0" workbookViewId="0">
      <pane ySplit="1" topLeftCell="A252" activePane="bottomLeft" state="frozen"/>
      <selection pane="bottomLeft" activeCell="K263" sqref="K263"/>
    </sheetView>
  </sheetViews>
  <sheetFormatPr defaultColWidth="9.28515625" defaultRowHeight="12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7" width="11.140625" customWidth="1"/>
    <col min="8" max="8" width="12.42578125" customWidth="1"/>
    <col min="9" max="9" width="7" customWidth="1"/>
    <col min="10" max="10" width="5.140625" customWidth="1"/>
    <col min="11" max="11" width="11.42578125" customWidth="1"/>
    <col min="12" max="12" width="12" customWidth="1"/>
    <col min="13" max="14" width="6" customWidth="1"/>
    <col min="15" max="15" width="2" customWidth="1"/>
    <col min="16" max="16" width="12.42578125" customWidth="1"/>
    <col min="17" max="17" width="4.140625" customWidth="1"/>
    <col min="18" max="18" width="1.7109375" customWidth="1"/>
    <col min="19" max="45" width="22.28515625" customWidth="1"/>
    <col min="49" max="70" width="9.28515625" hidden="1"/>
  </cols>
  <sheetData>
    <row r="1" spans="1:71" ht="21.75" customHeight="1">
      <c r="A1" s="4"/>
      <c r="B1" s="5"/>
      <c r="C1" s="5"/>
      <c r="D1" s="6" t="s">
        <v>1</v>
      </c>
      <c r="E1" s="5"/>
      <c r="F1" s="1" t="s">
        <v>62</v>
      </c>
      <c r="G1" s="1"/>
      <c r="H1" s="204" t="s">
        <v>63</v>
      </c>
      <c r="I1" s="204"/>
      <c r="J1" s="204"/>
      <c r="K1" s="204"/>
      <c r="L1" s="1" t="s">
        <v>64</v>
      </c>
      <c r="M1" s="5"/>
      <c r="N1" s="5"/>
      <c r="O1" s="6" t="s">
        <v>65</v>
      </c>
      <c r="P1" s="5"/>
      <c r="Q1" s="5"/>
      <c r="R1" s="5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</row>
    <row r="2" spans="1:71" ht="36.9" customHeight="1">
      <c r="C2" s="160" t="s">
        <v>6</v>
      </c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AY2" s="8" t="s">
        <v>57</v>
      </c>
    </row>
    <row r="3" spans="1:71" ht="6.9" customHeight="1"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1"/>
      <c r="AY3" s="8" t="s">
        <v>67</v>
      </c>
    </row>
    <row r="4" spans="1:71" ht="36.9" customHeight="1">
      <c r="B4" s="13"/>
      <c r="C4" s="162" t="s">
        <v>68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4"/>
      <c r="AY4" s="8" t="s">
        <v>5</v>
      </c>
    </row>
    <row r="5" spans="1:71" ht="6.9" customHeight="1">
      <c r="B5" s="13"/>
      <c r="R5" s="14"/>
    </row>
    <row r="6" spans="1:71" ht="25.35" customHeight="1">
      <c r="B6" s="13"/>
      <c r="D6" s="15" t="s">
        <v>12</v>
      </c>
      <c r="F6" s="217" t="str">
        <f>'Rekapitulace stavby'!K6</f>
        <v>Revitalizace objektu MŠ-Srdíčko v Praze 12</v>
      </c>
      <c r="G6" s="218"/>
      <c r="H6" s="218"/>
      <c r="I6" s="218"/>
      <c r="J6" s="218"/>
      <c r="K6" s="218"/>
      <c r="L6" s="218"/>
      <c r="M6" s="218"/>
      <c r="N6" s="218"/>
      <c r="O6" s="218"/>
      <c r="P6" s="218"/>
      <c r="R6" s="14"/>
    </row>
    <row r="7" spans="1:71" s="16" customFormat="1" ht="32.85" customHeight="1">
      <c r="B7" s="17"/>
      <c r="D7" s="18" t="s">
        <v>69</v>
      </c>
      <c r="F7" s="165" t="s">
        <v>442</v>
      </c>
      <c r="G7" s="216"/>
      <c r="H7" s="216"/>
      <c r="I7" s="216"/>
      <c r="J7" s="216"/>
      <c r="K7" s="216"/>
      <c r="L7" s="216"/>
      <c r="M7" s="216"/>
      <c r="N7" s="216"/>
      <c r="O7" s="216"/>
      <c r="P7" s="216"/>
      <c r="R7" s="19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</row>
    <row r="8" spans="1:71" s="16" customFormat="1" ht="14.4" customHeight="1">
      <c r="B8" s="17"/>
      <c r="D8" s="15" t="s">
        <v>14</v>
      </c>
      <c r="F8" s="20" t="s">
        <v>4</v>
      </c>
      <c r="M8" s="15" t="s">
        <v>15</v>
      </c>
      <c r="O8" s="20" t="s">
        <v>4</v>
      </c>
      <c r="R8" s="19"/>
    </row>
    <row r="9" spans="1:71" s="16" customFormat="1" ht="14.4" customHeight="1">
      <c r="B9" s="17"/>
      <c r="D9" s="15" t="s">
        <v>16</v>
      </c>
      <c r="F9" s="20" t="s">
        <v>17</v>
      </c>
      <c r="M9" s="15" t="s">
        <v>18</v>
      </c>
      <c r="O9" s="167" t="s">
        <v>618</v>
      </c>
      <c r="P9" s="167"/>
      <c r="Q9" s="167"/>
      <c r="R9" s="168"/>
    </row>
    <row r="10" spans="1:71" s="16" customFormat="1" ht="10.95" customHeight="1">
      <c r="B10" s="17"/>
      <c r="R10" s="19"/>
    </row>
    <row r="11" spans="1:71" s="16" customFormat="1" ht="14.4" customHeight="1">
      <c r="B11" s="17"/>
      <c r="D11" s="15" t="s">
        <v>19</v>
      </c>
      <c r="M11" s="15" t="s">
        <v>20</v>
      </c>
      <c r="O11" s="164" t="s">
        <v>4</v>
      </c>
      <c r="P11" s="164"/>
      <c r="R11" s="19"/>
    </row>
    <row r="12" spans="1:71" s="16" customFormat="1" ht="18" customHeight="1">
      <c r="B12" s="17"/>
      <c r="E12" s="20" t="s">
        <v>70</v>
      </c>
      <c r="M12" s="15" t="s">
        <v>22</v>
      </c>
      <c r="O12" s="164" t="s">
        <v>4</v>
      </c>
      <c r="P12" s="164"/>
      <c r="R12" s="19"/>
    </row>
    <row r="13" spans="1:71" s="16" customFormat="1" ht="6.9" customHeight="1">
      <c r="B13" s="17"/>
      <c r="R13" s="19"/>
    </row>
    <row r="14" spans="1:71" s="16" customFormat="1" ht="14.4" customHeight="1">
      <c r="B14" s="17"/>
      <c r="D14" s="15" t="s">
        <v>23</v>
      </c>
      <c r="M14" s="15" t="s">
        <v>20</v>
      </c>
      <c r="O14" s="167" t="s">
        <v>618</v>
      </c>
      <c r="P14" s="167"/>
      <c r="Q14" s="167"/>
      <c r="R14" s="168"/>
    </row>
    <row r="15" spans="1:71" s="16" customFormat="1" ht="18" customHeight="1">
      <c r="B15" s="17"/>
      <c r="E15" s="166" t="s">
        <v>618</v>
      </c>
      <c r="F15" s="166"/>
      <c r="G15" s="166"/>
      <c r="H15" s="166"/>
      <c r="I15" s="166"/>
      <c r="J15" s="166"/>
      <c r="K15" s="166"/>
      <c r="L15" s="166"/>
      <c r="M15" s="15" t="s">
        <v>22</v>
      </c>
      <c r="O15" s="167" t="s">
        <v>618</v>
      </c>
      <c r="P15" s="167"/>
      <c r="Q15" s="167"/>
      <c r="R15" s="168"/>
    </row>
    <row r="16" spans="1:71" s="16" customFormat="1" ht="6.9" customHeight="1">
      <c r="B16" s="17"/>
      <c r="R16" s="19"/>
    </row>
    <row r="17" spans="2:45" s="16" customFormat="1" ht="14.4" customHeight="1">
      <c r="B17" s="17"/>
      <c r="D17" s="15" t="s">
        <v>24</v>
      </c>
      <c r="M17" s="15" t="s">
        <v>20</v>
      </c>
      <c r="O17" s="164" t="s">
        <v>4</v>
      </c>
      <c r="P17" s="164"/>
      <c r="R17" s="19"/>
    </row>
    <row r="18" spans="2:45" s="16" customFormat="1" ht="18" customHeight="1">
      <c r="B18" s="17"/>
      <c r="E18" s="20" t="s">
        <v>71</v>
      </c>
      <c r="M18" s="15" t="s">
        <v>22</v>
      </c>
      <c r="O18" s="164" t="s">
        <v>4</v>
      </c>
      <c r="P18" s="164"/>
      <c r="R18" s="19"/>
    </row>
    <row r="19" spans="2:45" s="16" customFormat="1" ht="6.9" customHeight="1">
      <c r="B19" s="17"/>
      <c r="R19" s="19"/>
    </row>
    <row r="20" spans="2:45" s="16" customFormat="1" ht="14.4" customHeight="1">
      <c r="B20" s="17"/>
      <c r="D20" s="15" t="s">
        <v>26</v>
      </c>
      <c r="M20" s="15" t="s">
        <v>20</v>
      </c>
      <c r="O20" s="164" t="s">
        <v>4</v>
      </c>
      <c r="P20" s="164"/>
      <c r="R20" s="19"/>
    </row>
    <row r="21" spans="2:45" s="16" customFormat="1" ht="18" customHeight="1">
      <c r="B21" s="17"/>
      <c r="E21" s="166" t="s">
        <v>618</v>
      </c>
      <c r="F21" s="166"/>
      <c r="G21" s="166"/>
      <c r="H21" s="166"/>
      <c r="I21" s="166"/>
      <c r="J21" s="166"/>
      <c r="K21" s="166"/>
      <c r="L21" s="166"/>
      <c r="M21" s="15" t="s">
        <v>22</v>
      </c>
      <c r="O21" s="164" t="s">
        <v>4</v>
      </c>
      <c r="P21" s="164"/>
      <c r="R21" s="19"/>
    </row>
    <row r="22" spans="2:45" s="16" customFormat="1" ht="6.9" customHeight="1">
      <c r="B22" s="17"/>
      <c r="R22" s="19"/>
    </row>
    <row r="23" spans="2:45" s="16" customFormat="1" ht="14.4" customHeight="1">
      <c r="B23" s="17"/>
      <c r="D23" s="15" t="s">
        <v>27</v>
      </c>
      <c r="R23" s="19"/>
    </row>
    <row r="24" spans="2:45" s="16" customFormat="1" ht="16.5" customHeight="1">
      <c r="B24" s="17"/>
      <c r="E24" s="169" t="s">
        <v>4</v>
      </c>
      <c r="F24" s="169"/>
      <c r="G24" s="169"/>
      <c r="H24" s="169"/>
      <c r="I24" s="169"/>
      <c r="J24" s="169"/>
      <c r="K24" s="169"/>
      <c r="L24" s="169"/>
      <c r="R24" s="19"/>
    </row>
    <row r="25" spans="2:45" s="16" customFormat="1" ht="6.9" customHeight="1">
      <c r="B25" s="17"/>
      <c r="R25" s="19"/>
    </row>
    <row r="26" spans="2:45" s="16" customFormat="1" ht="6.9" customHeight="1">
      <c r="B26" s="17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R26" s="19"/>
    </row>
    <row r="27" spans="2:45" s="16" customFormat="1" ht="14.4" customHeight="1">
      <c r="B27" s="17"/>
      <c r="D27" s="23" t="s">
        <v>72</v>
      </c>
      <c r="M27" s="156">
        <f>N88</f>
        <v>0</v>
      </c>
      <c r="N27" s="156"/>
      <c r="O27" s="156"/>
      <c r="P27" s="156"/>
      <c r="R27" s="19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</row>
    <row r="28" spans="2:45" s="16" customFormat="1" ht="14.4" customHeight="1">
      <c r="B28" s="17"/>
      <c r="D28" s="116" t="s">
        <v>73</v>
      </c>
      <c r="M28" s="156">
        <f>N112</f>
        <v>0</v>
      </c>
      <c r="N28" s="156"/>
      <c r="O28" s="156"/>
      <c r="P28" s="156"/>
      <c r="R28" s="19"/>
    </row>
    <row r="29" spans="2:45" s="16" customFormat="1" ht="6.9" customHeight="1">
      <c r="B29" s="17"/>
      <c r="R29" s="19"/>
    </row>
    <row r="30" spans="2:45" s="16" customFormat="1" ht="25.35" customHeight="1">
      <c r="B30" s="17"/>
      <c r="D30" s="25" t="s">
        <v>30</v>
      </c>
      <c r="M30" s="225">
        <f>ROUND(M27+M28,2)</f>
        <v>0</v>
      </c>
      <c r="N30" s="216"/>
      <c r="O30" s="216"/>
      <c r="P30" s="216"/>
      <c r="R30" s="19"/>
    </row>
    <row r="31" spans="2:45" s="16" customFormat="1" ht="6.9" customHeight="1">
      <c r="B31" s="17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R31" s="19"/>
    </row>
    <row r="32" spans="2:45" s="16" customFormat="1" ht="14.4" customHeight="1">
      <c r="B32" s="17"/>
      <c r="D32" s="26" t="s">
        <v>31</v>
      </c>
      <c r="E32" s="26" t="s">
        <v>32</v>
      </c>
      <c r="F32" s="27">
        <v>0.21</v>
      </c>
      <c r="G32" s="28" t="s">
        <v>33</v>
      </c>
      <c r="H32" s="222">
        <f>+M30</f>
        <v>0</v>
      </c>
      <c r="I32" s="216"/>
      <c r="J32" s="216"/>
      <c r="M32" s="222">
        <f>0.21*H32</f>
        <v>0</v>
      </c>
      <c r="N32" s="216"/>
      <c r="O32" s="216"/>
      <c r="P32" s="216"/>
      <c r="R32" s="19"/>
    </row>
    <row r="33" spans="2:45" s="16" customFormat="1" ht="14.4" customHeight="1">
      <c r="B33" s="17"/>
      <c r="E33" s="26" t="s">
        <v>34</v>
      </c>
      <c r="F33" s="27">
        <v>0.15</v>
      </c>
      <c r="G33" s="28" t="s">
        <v>33</v>
      </c>
      <c r="H33" s="222" t="e">
        <f>ROUND((SUM(BK112:BK113)+SUM(BK131:BK269)), 2)</f>
        <v>#REF!</v>
      </c>
      <c r="I33" s="216"/>
      <c r="J33" s="216"/>
      <c r="M33" s="222" t="e">
        <f>ROUND(ROUND((SUM(BK112:BK113)+SUM(BK131:BK269)), 2)*F33, 2)</f>
        <v>#REF!</v>
      </c>
      <c r="N33" s="216"/>
      <c r="O33" s="216"/>
      <c r="P33" s="216"/>
      <c r="R33" s="19"/>
    </row>
    <row r="34" spans="2:45" s="16" customFormat="1" ht="14.4" hidden="1" customHeight="1">
      <c r="B34" s="17"/>
      <c r="E34" s="26" t="s">
        <v>35</v>
      </c>
      <c r="F34" s="27">
        <v>0.21</v>
      </c>
      <c r="G34" s="28" t="s">
        <v>33</v>
      </c>
      <c r="H34" s="222" t="e">
        <f>ROUND((SUM(BL112:BL113)+SUM(BL131:BL269)), 2)</f>
        <v>#REF!</v>
      </c>
      <c r="I34" s="216"/>
      <c r="J34" s="216"/>
      <c r="M34" s="222">
        <v>0</v>
      </c>
      <c r="N34" s="216"/>
      <c r="O34" s="216"/>
      <c r="P34" s="216"/>
      <c r="R34" s="19"/>
    </row>
    <row r="35" spans="2:45" s="16" customFormat="1" ht="14.4" hidden="1" customHeight="1">
      <c r="B35" s="17"/>
      <c r="E35" s="26" t="s">
        <v>36</v>
      </c>
      <c r="F35" s="27">
        <v>0.15</v>
      </c>
      <c r="G35" s="28" t="s">
        <v>33</v>
      </c>
      <c r="H35" s="222" t="e">
        <f>ROUND((SUM(BM112:BM113)+SUM(BM131:BM269)), 2)</f>
        <v>#REF!</v>
      </c>
      <c r="I35" s="216"/>
      <c r="J35" s="216"/>
      <c r="M35" s="222">
        <v>0</v>
      </c>
      <c r="N35" s="216"/>
      <c r="O35" s="216"/>
      <c r="P35" s="216"/>
      <c r="R35" s="19"/>
    </row>
    <row r="36" spans="2:45" s="16" customFormat="1" ht="14.4" hidden="1" customHeight="1">
      <c r="B36" s="17"/>
      <c r="E36" s="26" t="s">
        <v>37</v>
      </c>
      <c r="F36" s="27">
        <v>0</v>
      </c>
      <c r="G36" s="28" t="s">
        <v>33</v>
      </c>
      <c r="H36" s="222" t="e">
        <f>ROUND((SUM(BN112:BN113)+SUM(BN131:BN269)), 2)</f>
        <v>#REF!</v>
      </c>
      <c r="I36" s="216"/>
      <c r="J36" s="216"/>
      <c r="M36" s="222">
        <v>0</v>
      </c>
      <c r="N36" s="216"/>
      <c r="O36" s="216"/>
      <c r="P36" s="216"/>
      <c r="R36" s="19"/>
    </row>
    <row r="37" spans="2:45" s="16" customFormat="1" ht="6.9" customHeight="1">
      <c r="B37" s="17"/>
      <c r="R37" s="19"/>
    </row>
    <row r="38" spans="2:45" s="16" customFormat="1" ht="25.35" customHeight="1">
      <c r="B38" s="17"/>
      <c r="C38" s="29"/>
      <c r="D38" s="30" t="s">
        <v>38</v>
      </c>
      <c r="E38" s="31"/>
      <c r="F38" s="31"/>
      <c r="G38" s="32" t="s">
        <v>39</v>
      </c>
      <c r="H38" s="33" t="s">
        <v>40</v>
      </c>
      <c r="I38" s="31"/>
      <c r="J38" s="31"/>
      <c r="K38" s="31"/>
      <c r="L38" s="223">
        <f>+H32+M32</f>
        <v>0</v>
      </c>
      <c r="M38" s="223"/>
      <c r="N38" s="223"/>
      <c r="O38" s="223"/>
      <c r="P38" s="224"/>
      <c r="Q38" s="29"/>
      <c r="R38" s="19"/>
    </row>
    <row r="39" spans="2:45" s="16" customFormat="1" ht="14.4" customHeight="1">
      <c r="B39" s="17"/>
      <c r="R39" s="19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  <c r="AN39" s="122"/>
      <c r="AO39" s="122"/>
      <c r="AP39" s="122"/>
      <c r="AQ39" s="122"/>
      <c r="AR39" s="122"/>
      <c r="AS39" s="122"/>
    </row>
    <row r="40" spans="2:45" s="16" customFormat="1" ht="14.4" customHeight="1">
      <c r="B40" s="17"/>
      <c r="R40" s="19"/>
    </row>
    <row r="41" spans="2:45">
      <c r="B41" s="13"/>
      <c r="R41" s="14"/>
    </row>
    <row r="42" spans="2:45">
      <c r="B42" s="13"/>
      <c r="R42" s="14"/>
    </row>
    <row r="43" spans="2:45">
      <c r="B43" s="13"/>
      <c r="R43" s="14"/>
    </row>
    <row r="44" spans="2:45">
      <c r="B44" s="13"/>
      <c r="R44" s="14"/>
    </row>
    <row r="45" spans="2:45">
      <c r="B45" s="13"/>
      <c r="R45" s="14"/>
    </row>
    <row r="46" spans="2:45">
      <c r="B46" s="13"/>
      <c r="R46" s="14"/>
    </row>
    <row r="47" spans="2:45">
      <c r="B47" s="13"/>
      <c r="R47" s="14"/>
    </row>
    <row r="48" spans="2:45">
      <c r="B48" s="13"/>
      <c r="R48" s="14"/>
    </row>
    <row r="49" spans="2:45">
      <c r="B49" s="13"/>
      <c r="R49" s="14"/>
    </row>
    <row r="50" spans="2:45" s="16" customFormat="1" ht="14.4">
      <c r="B50" s="17"/>
      <c r="D50" s="34" t="s">
        <v>41</v>
      </c>
      <c r="E50" s="22"/>
      <c r="F50" s="22"/>
      <c r="G50" s="22"/>
      <c r="H50" s="35"/>
      <c r="J50" s="34" t="s">
        <v>42</v>
      </c>
      <c r="K50" s="22"/>
      <c r="L50" s="22"/>
      <c r="M50" s="22"/>
      <c r="N50" s="22"/>
      <c r="O50" s="22"/>
      <c r="P50" s="35"/>
      <c r="R50" s="19"/>
    </row>
    <row r="51" spans="2:45">
      <c r="B51" s="13"/>
      <c r="D51" s="36"/>
      <c r="H51" s="37"/>
      <c r="J51" s="36"/>
      <c r="P51" s="37"/>
      <c r="R51" s="14"/>
    </row>
    <row r="52" spans="2:45">
      <c r="B52" s="13"/>
      <c r="D52" s="36"/>
      <c r="H52" s="37"/>
      <c r="J52" s="36"/>
      <c r="P52" s="37"/>
      <c r="R52" s="14"/>
    </row>
    <row r="53" spans="2:45">
      <c r="B53" s="13"/>
      <c r="D53" s="36"/>
      <c r="H53" s="37"/>
      <c r="J53" s="36"/>
      <c r="P53" s="37"/>
      <c r="R53" s="14"/>
    </row>
    <row r="54" spans="2:45">
      <c r="B54" s="13"/>
      <c r="D54" s="36"/>
      <c r="H54" s="37"/>
      <c r="J54" s="36"/>
      <c r="P54" s="37"/>
      <c r="R54" s="14"/>
    </row>
    <row r="55" spans="2:45">
      <c r="B55" s="13"/>
      <c r="D55" s="36"/>
      <c r="H55" s="37"/>
      <c r="J55" s="36"/>
      <c r="P55" s="37"/>
      <c r="R55" s="14"/>
    </row>
    <row r="56" spans="2:45">
      <c r="B56" s="13"/>
      <c r="D56" s="36"/>
      <c r="H56" s="37"/>
      <c r="J56" s="36"/>
      <c r="P56" s="37"/>
      <c r="R56" s="14"/>
    </row>
    <row r="57" spans="2:45">
      <c r="B57" s="13"/>
      <c r="D57" s="36"/>
      <c r="H57" s="37"/>
      <c r="J57" s="36"/>
      <c r="P57" s="37"/>
      <c r="R57" s="14"/>
    </row>
    <row r="58" spans="2:45">
      <c r="B58" s="13"/>
      <c r="D58" s="36"/>
      <c r="H58" s="37"/>
      <c r="J58" s="36"/>
      <c r="P58" s="37"/>
      <c r="R58" s="14"/>
    </row>
    <row r="59" spans="2:45" s="16" customFormat="1" ht="14.4">
      <c r="B59" s="17"/>
      <c r="D59" s="38" t="s">
        <v>43</v>
      </c>
      <c r="E59" s="39"/>
      <c r="F59" s="39"/>
      <c r="G59" s="40" t="s">
        <v>44</v>
      </c>
      <c r="H59" s="41"/>
      <c r="J59" s="38" t="s">
        <v>43</v>
      </c>
      <c r="K59" s="39"/>
      <c r="L59" s="39"/>
      <c r="M59" s="39"/>
      <c r="N59" s="40" t="s">
        <v>44</v>
      </c>
      <c r="O59" s="39"/>
      <c r="P59" s="41"/>
      <c r="R59" s="1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</row>
    <row r="60" spans="2:45">
      <c r="B60" s="13"/>
      <c r="R60" s="14"/>
    </row>
    <row r="61" spans="2:45" s="16" customFormat="1" ht="14.4">
      <c r="B61" s="17"/>
      <c r="D61" s="34" t="s">
        <v>45</v>
      </c>
      <c r="E61" s="22"/>
      <c r="F61" s="22"/>
      <c r="G61" s="22"/>
      <c r="H61" s="35"/>
      <c r="J61" s="34" t="s">
        <v>46</v>
      </c>
      <c r="K61" s="22"/>
      <c r="L61" s="22"/>
      <c r="M61" s="22"/>
      <c r="N61" s="22"/>
      <c r="O61" s="22"/>
      <c r="P61" s="35"/>
      <c r="R61" s="19"/>
    </row>
    <row r="62" spans="2:45">
      <c r="B62" s="13"/>
      <c r="D62" s="36"/>
      <c r="H62" s="37"/>
      <c r="J62" s="36"/>
      <c r="P62" s="37"/>
      <c r="R62" s="14"/>
    </row>
    <row r="63" spans="2:45">
      <c r="B63" s="13"/>
      <c r="D63" s="36"/>
      <c r="H63" s="37"/>
      <c r="J63" s="36"/>
      <c r="P63" s="37"/>
      <c r="R63" s="14"/>
    </row>
    <row r="64" spans="2:45">
      <c r="B64" s="13"/>
      <c r="D64" s="36"/>
      <c r="H64" s="37"/>
      <c r="J64" s="36"/>
      <c r="P64" s="37"/>
      <c r="R64" s="14"/>
    </row>
    <row r="65" spans="2:45">
      <c r="B65" s="13"/>
      <c r="D65" s="36"/>
      <c r="H65" s="37"/>
      <c r="J65" s="36"/>
      <c r="P65" s="37"/>
      <c r="R65" s="14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</row>
    <row r="66" spans="2:45">
      <c r="B66" s="13"/>
      <c r="D66" s="36"/>
      <c r="H66" s="37"/>
      <c r="J66" s="36"/>
      <c r="P66" s="37"/>
      <c r="R66" s="14"/>
    </row>
    <row r="67" spans="2:45">
      <c r="B67" s="13"/>
      <c r="D67" s="36"/>
      <c r="H67" s="37"/>
      <c r="J67" s="36"/>
      <c r="P67" s="37"/>
      <c r="R67" s="14"/>
    </row>
    <row r="68" spans="2:45">
      <c r="B68" s="13"/>
      <c r="D68" s="36"/>
      <c r="H68" s="37"/>
      <c r="J68" s="36"/>
      <c r="P68" s="37"/>
      <c r="R68" s="14"/>
    </row>
    <row r="69" spans="2:45">
      <c r="B69" s="13"/>
      <c r="D69" s="36"/>
      <c r="H69" s="37"/>
      <c r="J69" s="36"/>
      <c r="P69" s="37"/>
      <c r="R69" s="14"/>
    </row>
    <row r="70" spans="2:45" s="16" customFormat="1" ht="14.4">
      <c r="B70" s="17"/>
      <c r="D70" s="38" t="s">
        <v>43</v>
      </c>
      <c r="E70" s="39"/>
      <c r="F70" s="39"/>
      <c r="G70" s="40" t="s">
        <v>44</v>
      </c>
      <c r="H70" s="41"/>
      <c r="J70" s="38" t="s">
        <v>43</v>
      </c>
      <c r="K70" s="39"/>
      <c r="L70" s="39"/>
      <c r="M70" s="39"/>
      <c r="N70" s="40" t="s">
        <v>44</v>
      </c>
      <c r="O70" s="39"/>
      <c r="P70" s="41"/>
      <c r="R70" s="19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</row>
    <row r="71" spans="2:45" s="16" customFormat="1" ht="14.4" customHeight="1"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4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</row>
    <row r="75" spans="2:45" s="16" customFormat="1" ht="6.9" customHeight="1">
      <c r="B75" s="45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7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</row>
    <row r="76" spans="2:45" s="16" customFormat="1" ht="36.9" customHeight="1">
      <c r="B76" s="17"/>
      <c r="C76" s="162" t="s">
        <v>74</v>
      </c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9"/>
    </row>
    <row r="77" spans="2:45" s="16" customFormat="1" ht="6.9" customHeight="1">
      <c r="B77" s="17"/>
      <c r="R77" s="19"/>
    </row>
    <row r="78" spans="2:45" s="16" customFormat="1" ht="30" customHeight="1">
      <c r="B78" s="17"/>
      <c r="C78" s="15" t="s">
        <v>12</v>
      </c>
      <c r="F78" s="217" t="str">
        <f>F6</f>
        <v>Revitalizace objektu MŠ-Srdíčko v Praze 12</v>
      </c>
      <c r="G78" s="218"/>
      <c r="H78" s="218"/>
      <c r="I78" s="218"/>
      <c r="J78" s="218"/>
      <c r="K78" s="218"/>
      <c r="L78" s="218"/>
      <c r="M78" s="218"/>
      <c r="N78" s="218"/>
      <c r="O78" s="218"/>
      <c r="P78" s="218"/>
      <c r="R78" s="19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</row>
    <row r="79" spans="2:45" s="16" customFormat="1" ht="36.9" customHeight="1">
      <c r="B79" s="17"/>
      <c r="C79" s="48" t="s">
        <v>69</v>
      </c>
      <c r="F79" s="188" t="str">
        <f>F7</f>
        <v>obj. A - Zateplení obvodového pláště a stropu</v>
      </c>
      <c r="G79" s="216"/>
      <c r="H79" s="216"/>
      <c r="I79" s="216"/>
      <c r="J79" s="216"/>
      <c r="K79" s="216"/>
      <c r="L79" s="216"/>
      <c r="M79" s="216"/>
      <c r="N79" s="216"/>
      <c r="O79" s="216"/>
      <c r="P79" s="216"/>
      <c r="R79" s="1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</row>
    <row r="80" spans="2:45" s="16" customFormat="1" ht="6.9" customHeight="1">
      <c r="B80" s="17"/>
      <c r="R80" s="19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</row>
    <row r="81" spans="2:52" s="16" customFormat="1" ht="18" customHeight="1">
      <c r="B81" s="17"/>
      <c r="C81" s="15" t="s">
        <v>16</v>
      </c>
      <c r="F81" s="20" t="str">
        <f>F9</f>
        <v>Levského 3203/19, Praha 12 - Modřany</v>
      </c>
      <c r="K81" s="15" t="s">
        <v>18</v>
      </c>
      <c r="M81" s="209" t="str">
        <f>IF(O9="","",O9)</f>
        <v>Vyplň údaj</v>
      </c>
      <c r="N81" s="209"/>
      <c r="O81" s="209"/>
      <c r="P81" s="209"/>
      <c r="R81" s="19"/>
    </row>
    <row r="82" spans="2:52" s="16" customFormat="1" ht="6.9" customHeight="1">
      <c r="B82" s="17"/>
      <c r="R82" s="19"/>
    </row>
    <row r="83" spans="2:52" s="16" customFormat="1" ht="13.2">
      <c r="B83" s="17"/>
      <c r="C83" s="15" t="s">
        <v>19</v>
      </c>
      <c r="F83" s="20" t="str">
        <f>E12</f>
        <v>Městská část Praha 12</v>
      </c>
      <c r="K83" s="15" t="s">
        <v>24</v>
      </c>
      <c r="M83" s="164" t="str">
        <f>E18</f>
        <v>Projektová kancelář ATLAS  s.r.o.</v>
      </c>
      <c r="N83" s="164"/>
      <c r="O83" s="164"/>
      <c r="P83" s="164"/>
      <c r="Q83" s="164"/>
      <c r="R83" s="19"/>
    </row>
    <row r="84" spans="2:52" s="16" customFormat="1" ht="14.4" customHeight="1">
      <c r="B84" s="17"/>
      <c r="C84" s="15" t="s">
        <v>23</v>
      </c>
      <c r="F84" s="20" t="str">
        <f>IF(E15="","",E15)</f>
        <v>Vyplň údaj</v>
      </c>
      <c r="K84" s="15" t="s">
        <v>26</v>
      </c>
      <c r="M84" s="164" t="str">
        <f>E21</f>
        <v>Vyplň údaj</v>
      </c>
      <c r="N84" s="164"/>
      <c r="O84" s="164"/>
      <c r="P84" s="164"/>
      <c r="Q84" s="164"/>
      <c r="R84" s="19"/>
    </row>
    <row r="85" spans="2:52" s="16" customFormat="1" ht="10.35" customHeight="1">
      <c r="B85" s="17"/>
      <c r="R85" s="19"/>
    </row>
    <row r="86" spans="2:52" s="16" customFormat="1" ht="29.25" customHeight="1">
      <c r="B86" s="17"/>
      <c r="C86" s="220" t="s">
        <v>75</v>
      </c>
      <c r="D86" s="221"/>
      <c r="E86" s="221"/>
      <c r="F86" s="221"/>
      <c r="G86" s="221"/>
      <c r="H86" s="29"/>
      <c r="I86" s="29"/>
      <c r="J86" s="29"/>
      <c r="K86" s="29"/>
      <c r="L86" s="29"/>
      <c r="M86" s="29"/>
      <c r="N86" s="220" t="s">
        <v>76</v>
      </c>
      <c r="O86" s="221"/>
      <c r="P86" s="221"/>
      <c r="Q86" s="221"/>
      <c r="R86" s="19"/>
    </row>
    <row r="87" spans="2:52" s="16" customFormat="1" ht="10.35" customHeight="1">
      <c r="B87" s="17"/>
      <c r="R87" s="19"/>
    </row>
    <row r="88" spans="2:52" s="16" customFormat="1" ht="29.25" customHeight="1">
      <c r="B88" s="17"/>
      <c r="C88" s="50" t="s">
        <v>77</v>
      </c>
      <c r="N88" s="170">
        <f>N131</f>
        <v>0</v>
      </c>
      <c r="O88" s="214"/>
      <c r="P88" s="214"/>
      <c r="Q88" s="214"/>
      <c r="R88" s="19"/>
      <c r="AZ88" s="8" t="s">
        <v>78</v>
      </c>
    </row>
    <row r="89" spans="2:52" s="53" customFormat="1" ht="24.9" customHeight="1">
      <c r="B89" s="52"/>
      <c r="D89" s="54" t="s">
        <v>79</v>
      </c>
      <c r="N89" s="208">
        <f>N132</f>
        <v>0</v>
      </c>
      <c r="O89" s="219"/>
      <c r="P89" s="219"/>
      <c r="Q89" s="219"/>
      <c r="R89" s="55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</row>
    <row r="90" spans="2:52" s="58" customFormat="1" ht="19.95" customHeight="1">
      <c r="B90" s="57"/>
      <c r="D90" s="59" t="s">
        <v>80</v>
      </c>
      <c r="N90" s="212">
        <f>N133</f>
        <v>0</v>
      </c>
      <c r="O90" s="213"/>
      <c r="P90" s="213"/>
      <c r="Q90" s="213"/>
      <c r="R90" s="60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</row>
    <row r="91" spans="2:52" s="58" customFormat="1" ht="19.95" customHeight="1">
      <c r="B91" s="57"/>
      <c r="D91" s="59" t="s">
        <v>81</v>
      </c>
      <c r="N91" s="212">
        <f>N140</f>
        <v>0</v>
      </c>
      <c r="O91" s="213"/>
      <c r="P91" s="213"/>
      <c r="Q91" s="213"/>
      <c r="R91" s="60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</row>
    <row r="92" spans="2:52" s="58" customFormat="1" ht="19.95" customHeight="1">
      <c r="B92" s="57"/>
      <c r="D92" s="59" t="s">
        <v>82</v>
      </c>
      <c r="N92" s="212">
        <f>N142</f>
        <v>0</v>
      </c>
      <c r="O92" s="213"/>
      <c r="P92" s="213"/>
      <c r="Q92" s="213"/>
      <c r="R92" s="60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</row>
    <row r="93" spans="2:52" s="58" customFormat="1" ht="19.95" customHeight="1">
      <c r="B93" s="57"/>
      <c r="D93" s="59" t="s">
        <v>83</v>
      </c>
      <c r="N93" s="212">
        <f>N147</f>
        <v>0</v>
      </c>
      <c r="O93" s="213"/>
      <c r="P93" s="213"/>
      <c r="Q93" s="213"/>
      <c r="R93" s="60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</row>
    <row r="94" spans="2:52" s="58" customFormat="1" ht="19.95" customHeight="1">
      <c r="B94" s="57"/>
      <c r="D94" s="59" t="s">
        <v>84</v>
      </c>
      <c r="N94" s="212">
        <f>N149</f>
        <v>0</v>
      </c>
      <c r="O94" s="213"/>
      <c r="P94" s="213"/>
      <c r="Q94" s="213"/>
      <c r="R94" s="60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</row>
    <row r="95" spans="2:52" s="58" customFormat="1" ht="19.95" customHeight="1">
      <c r="B95" s="57"/>
      <c r="D95" s="59" t="s">
        <v>85</v>
      </c>
      <c r="N95" s="212">
        <f>N162</f>
        <v>0</v>
      </c>
      <c r="O95" s="213"/>
      <c r="P95" s="213"/>
      <c r="Q95" s="213"/>
      <c r="R95" s="60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</row>
    <row r="96" spans="2:52" s="58" customFormat="1" ht="19.95" customHeight="1">
      <c r="B96" s="57"/>
      <c r="D96" s="59" t="s">
        <v>86</v>
      </c>
      <c r="N96" s="212">
        <f>N195</f>
        <v>0</v>
      </c>
      <c r="O96" s="213"/>
      <c r="P96" s="213"/>
      <c r="Q96" s="213"/>
      <c r="R96" s="60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3"/>
      <c r="AH96" s="123"/>
      <c r="AI96" s="123"/>
      <c r="AJ96" s="123"/>
      <c r="AK96" s="123"/>
      <c r="AL96" s="123"/>
      <c r="AM96" s="123"/>
      <c r="AN96" s="123"/>
      <c r="AO96" s="123"/>
      <c r="AP96" s="123"/>
      <c r="AQ96" s="123"/>
      <c r="AR96" s="123"/>
      <c r="AS96" s="123"/>
    </row>
    <row r="97" spans="2:45" s="58" customFormat="1" ht="19.95" customHeight="1">
      <c r="B97" s="57"/>
      <c r="D97" s="59" t="s">
        <v>87</v>
      </c>
      <c r="N97" s="212">
        <f>N208</f>
        <v>0</v>
      </c>
      <c r="O97" s="213"/>
      <c r="P97" s="213"/>
      <c r="Q97" s="213"/>
      <c r="R97" s="60"/>
      <c r="S97" s="124"/>
      <c r="T97" s="124"/>
      <c r="U97" s="124"/>
      <c r="V97" s="124"/>
      <c r="W97" s="124"/>
      <c r="X97" s="124"/>
      <c r="Y97" s="124"/>
      <c r="Z97" s="124"/>
      <c r="AA97" s="124"/>
      <c r="AB97" s="124"/>
      <c r="AC97" s="124"/>
      <c r="AD97" s="124"/>
      <c r="AE97" s="124"/>
      <c r="AF97" s="124"/>
      <c r="AG97" s="124"/>
      <c r="AH97" s="124"/>
      <c r="AI97" s="124"/>
      <c r="AJ97" s="124"/>
      <c r="AK97" s="124"/>
      <c r="AL97" s="124"/>
      <c r="AM97" s="124"/>
      <c r="AN97" s="124"/>
      <c r="AO97" s="124"/>
      <c r="AP97" s="124"/>
      <c r="AQ97" s="124"/>
      <c r="AR97" s="124"/>
      <c r="AS97" s="124"/>
    </row>
    <row r="98" spans="2:45" s="58" customFormat="1" ht="19.95" customHeight="1">
      <c r="B98" s="57"/>
      <c r="D98" s="59" t="s">
        <v>88</v>
      </c>
      <c r="N98" s="212">
        <f>N214</f>
        <v>0</v>
      </c>
      <c r="O98" s="213"/>
      <c r="P98" s="213"/>
      <c r="Q98" s="213"/>
      <c r="R98" s="60"/>
      <c r="S98" s="124"/>
      <c r="T98" s="124"/>
      <c r="U98" s="124"/>
      <c r="V98" s="124"/>
      <c r="W98" s="124"/>
      <c r="X98" s="124"/>
      <c r="Y98" s="124"/>
      <c r="Z98" s="124"/>
      <c r="AA98" s="124"/>
      <c r="AB98" s="124"/>
      <c r="AC98" s="124"/>
      <c r="AD98" s="124"/>
      <c r="AE98" s="124"/>
      <c r="AF98" s="124"/>
      <c r="AG98" s="124"/>
      <c r="AH98" s="124"/>
      <c r="AI98" s="124"/>
      <c r="AJ98" s="124"/>
      <c r="AK98" s="124"/>
      <c r="AL98" s="124"/>
      <c r="AM98" s="124"/>
      <c r="AN98" s="124"/>
      <c r="AO98" s="124"/>
      <c r="AP98" s="124"/>
      <c r="AQ98" s="124"/>
      <c r="AR98" s="124"/>
      <c r="AS98" s="124"/>
    </row>
    <row r="99" spans="2:45" s="53" customFormat="1" ht="24.9" customHeight="1">
      <c r="B99" s="52"/>
      <c r="D99" s="54" t="s">
        <v>89</v>
      </c>
      <c r="N99" s="208">
        <f>N216</f>
        <v>0</v>
      </c>
      <c r="O99" s="219"/>
      <c r="P99" s="219"/>
      <c r="Q99" s="219"/>
      <c r="R99" s="55"/>
      <c r="S99" s="124"/>
      <c r="T99" s="124"/>
      <c r="U99" s="124"/>
      <c r="V99" s="124"/>
      <c r="W99" s="124"/>
      <c r="X99" s="124"/>
      <c r="Y99" s="124"/>
      <c r="Z99" s="124"/>
      <c r="AA99" s="124"/>
      <c r="AB99" s="124"/>
      <c r="AC99" s="124"/>
      <c r="AD99" s="124"/>
      <c r="AE99" s="124"/>
      <c r="AF99" s="124"/>
      <c r="AG99" s="124"/>
      <c r="AH99" s="124"/>
      <c r="AI99" s="124"/>
      <c r="AJ99" s="124"/>
      <c r="AK99" s="124"/>
      <c r="AL99" s="124"/>
      <c r="AM99" s="124"/>
      <c r="AN99" s="124"/>
      <c r="AO99" s="124"/>
      <c r="AP99" s="124"/>
      <c r="AQ99" s="124"/>
      <c r="AR99" s="124"/>
      <c r="AS99" s="124"/>
    </row>
    <row r="100" spans="2:45" s="58" customFormat="1" ht="19.95" customHeight="1">
      <c r="B100" s="57"/>
      <c r="D100" s="59" t="s">
        <v>90</v>
      </c>
      <c r="N100" s="212">
        <f>N217</f>
        <v>0</v>
      </c>
      <c r="O100" s="213"/>
      <c r="P100" s="213"/>
      <c r="Q100" s="213"/>
      <c r="R100" s="60"/>
      <c r="S100" s="124"/>
      <c r="T100" s="124"/>
      <c r="U100" s="124"/>
      <c r="V100" s="124"/>
      <c r="W100" s="124"/>
      <c r="X100" s="124"/>
      <c r="Y100" s="124"/>
      <c r="Z100" s="124"/>
      <c r="AA100" s="124"/>
      <c r="AB100" s="124"/>
      <c r="AC100" s="124"/>
      <c r="AD100" s="124"/>
      <c r="AE100" s="124"/>
      <c r="AF100" s="124"/>
      <c r="AG100" s="124"/>
      <c r="AH100" s="124"/>
      <c r="AI100" s="124"/>
      <c r="AJ100" s="124"/>
      <c r="AK100" s="124"/>
      <c r="AL100" s="124"/>
      <c r="AM100" s="124"/>
      <c r="AN100" s="124"/>
      <c r="AO100" s="124"/>
      <c r="AP100" s="124"/>
      <c r="AQ100" s="124"/>
      <c r="AR100" s="124"/>
      <c r="AS100" s="124"/>
    </row>
    <row r="101" spans="2:45" s="58" customFormat="1" ht="19.95" customHeight="1">
      <c r="B101" s="57"/>
      <c r="D101" s="59" t="s">
        <v>91</v>
      </c>
      <c r="N101" s="212">
        <f>N221</f>
        <v>0</v>
      </c>
      <c r="O101" s="213"/>
      <c r="P101" s="213"/>
      <c r="Q101" s="213"/>
      <c r="R101" s="60"/>
      <c r="S101" s="124"/>
      <c r="T101" s="124"/>
      <c r="U101" s="124"/>
      <c r="V101" s="124"/>
      <c r="W101" s="124"/>
      <c r="X101" s="124"/>
      <c r="Y101" s="124"/>
      <c r="Z101" s="124"/>
      <c r="AA101" s="124"/>
      <c r="AB101" s="124"/>
      <c r="AC101" s="124"/>
      <c r="AD101" s="124"/>
      <c r="AE101" s="124"/>
      <c r="AF101" s="124"/>
      <c r="AG101" s="124"/>
      <c r="AH101" s="124"/>
      <c r="AI101" s="124"/>
      <c r="AJ101" s="124"/>
      <c r="AK101" s="124"/>
      <c r="AL101" s="124"/>
      <c r="AM101" s="124"/>
      <c r="AN101" s="124"/>
      <c r="AO101" s="124"/>
      <c r="AP101" s="124"/>
      <c r="AQ101" s="124"/>
      <c r="AR101" s="124"/>
      <c r="AS101" s="124"/>
    </row>
    <row r="102" spans="2:45" s="58" customFormat="1" ht="19.95" customHeight="1">
      <c r="B102" s="57"/>
      <c r="D102" s="59" t="s">
        <v>92</v>
      </c>
      <c r="N102" s="212">
        <f>N229</f>
        <v>0</v>
      </c>
      <c r="O102" s="213"/>
      <c r="P102" s="213"/>
      <c r="Q102" s="213"/>
      <c r="R102" s="60"/>
      <c r="S102" s="124"/>
      <c r="T102" s="124"/>
      <c r="U102" s="124"/>
      <c r="V102" s="124"/>
      <c r="W102" s="124"/>
      <c r="X102" s="124"/>
      <c r="Y102" s="124"/>
      <c r="Z102" s="124"/>
      <c r="AA102" s="124"/>
      <c r="AB102" s="124"/>
      <c r="AC102" s="124"/>
      <c r="AD102" s="124"/>
      <c r="AE102" s="124"/>
      <c r="AF102" s="124"/>
      <c r="AG102" s="124"/>
      <c r="AH102" s="124"/>
      <c r="AI102" s="124"/>
      <c r="AJ102" s="124"/>
      <c r="AK102" s="124"/>
      <c r="AL102" s="124"/>
      <c r="AM102" s="124"/>
      <c r="AN102" s="124"/>
      <c r="AO102" s="124"/>
      <c r="AP102" s="124"/>
      <c r="AQ102" s="124"/>
      <c r="AR102" s="124"/>
      <c r="AS102" s="124"/>
    </row>
    <row r="103" spans="2:45" s="58" customFormat="1" ht="19.95" customHeight="1">
      <c r="B103" s="57"/>
      <c r="D103" s="59" t="s">
        <v>93</v>
      </c>
      <c r="N103" s="212">
        <f>N243</f>
        <v>0</v>
      </c>
      <c r="O103" s="213"/>
      <c r="P103" s="213"/>
      <c r="Q103" s="213"/>
      <c r="R103" s="60"/>
      <c r="S103" s="124"/>
      <c r="T103" s="124"/>
      <c r="U103" s="124"/>
      <c r="V103" s="124"/>
      <c r="W103" s="124"/>
      <c r="X103" s="124"/>
      <c r="Y103" s="124"/>
      <c r="Z103" s="124"/>
      <c r="AA103" s="124"/>
      <c r="AB103" s="124"/>
      <c r="AC103" s="124"/>
      <c r="AD103" s="124"/>
      <c r="AE103" s="124"/>
      <c r="AF103" s="124"/>
      <c r="AG103" s="124"/>
      <c r="AH103" s="124"/>
      <c r="AI103" s="124"/>
      <c r="AJ103" s="124"/>
      <c r="AK103" s="124"/>
      <c r="AL103" s="124"/>
      <c r="AM103" s="124"/>
      <c r="AN103" s="124"/>
      <c r="AO103" s="124"/>
      <c r="AP103" s="124"/>
      <c r="AQ103" s="124"/>
      <c r="AR103" s="124"/>
      <c r="AS103" s="124"/>
    </row>
    <row r="104" spans="2:45" s="58" customFormat="1" ht="19.95" customHeight="1">
      <c r="B104" s="57"/>
      <c r="D104" s="59" t="s">
        <v>94</v>
      </c>
      <c r="N104" s="212">
        <f>N248</f>
        <v>0</v>
      </c>
      <c r="O104" s="213"/>
      <c r="P104" s="213"/>
      <c r="Q104" s="213"/>
      <c r="R104" s="60"/>
      <c r="S104" s="124"/>
      <c r="T104" s="124"/>
      <c r="U104" s="124"/>
      <c r="V104" s="124"/>
      <c r="W104" s="124"/>
      <c r="X104" s="124"/>
      <c r="Y104" s="124"/>
      <c r="Z104" s="124"/>
      <c r="AA104" s="124"/>
      <c r="AB104" s="124"/>
      <c r="AC104" s="124"/>
      <c r="AD104" s="124"/>
      <c r="AE104" s="124"/>
      <c r="AF104" s="124"/>
      <c r="AG104" s="124"/>
      <c r="AH104" s="124"/>
      <c r="AI104" s="124"/>
      <c r="AJ104" s="124"/>
      <c r="AK104" s="124"/>
      <c r="AL104" s="124"/>
      <c r="AM104" s="124"/>
      <c r="AN104" s="124"/>
      <c r="AO104" s="124"/>
      <c r="AP104" s="124"/>
      <c r="AQ104" s="124"/>
      <c r="AR104" s="124"/>
      <c r="AS104" s="124"/>
    </row>
    <row r="105" spans="2:45" s="58" customFormat="1" ht="19.95" customHeight="1">
      <c r="B105" s="57"/>
      <c r="D105" s="59" t="s">
        <v>95</v>
      </c>
      <c r="N105" s="212">
        <f>N254</f>
        <v>0</v>
      </c>
      <c r="O105" s="213"/>
      <c r="P105" s="213"/>
      <c r="Q105" s="213"/>
      <c r="R105" s="60"/>
      <c r="S105" s="124"/>
      <c r="T105" s="124"/>
      <c r="U105" s="124"/>
      <c r="V105" s="124"/>
      <c r="W105" s="124"/>
      <c r="X105" s="124"/>
      <c r="Y105" s="124"/>
      <c r="Z105" s="124"/>
      <c r="AA105" s="124"/>
      <c r="AB105" s="124"/>
      <c r="AC105" s="124"/>
      <c r="AD105" s="124"/>
      <c r="AE105" s="124"/>
      <c r="AF105" s="124"/>
      <c r="AG105" s="124"/>
      <c r="AH105" s="124"/>
      <c r="AI105" s="124"/>
      <c r="AJ105" s="124"/>
      <c r="AK105" s="124"/>
      <c r="AL105" s="124"/>
      <c r="AM105" s="124"/>
      <c r="AN105" s="124"/>
      <c r="AO105" s="124"/>
      <c r="AP105" s="124"/>
      <c r="AQ105" s="124"/>
      <c r="AR105" s="124"/>
      <c r="AS105" s="124"/>
    </row>
    <row r="106" spans="2:45" s="53" customFormat="1" ht="24.9" customHeight="1">
      <c r="B106" s="52"/>
      <c r="D106" s="54" t="s">
        <v>96</v>
      </c>
      <c r="N106" s="208">
        <f>+N261</f>
        <v>0</v>
      </c>
      <c r="O106" s="219"/>
      <c r="P106" s="219"/>
      <c r="Q106" s="219"/>
      <c r="R106" s="55"/>
      <c r="S106" s="123"/>
      <c r="T106" s="123"/>
      <c r="U106" s="123"/>
      <c r="V106" s="123"/>
      <c r="W106" s="123"/>
      <c r="X106" s="123"/>
      <c r="Y106" s="123"/>
      <c r="Z106" s="123"/>
      <c r="AA106" s="123"/>
      <c r="AB106" s="123"/>
      <c r="AC106" s="123"/>
      <c r="AD106" s="123"/>
      <c r="AE106" s="123"/>
      <c r="AF106" s="123"/>
      <c r="AG106" s="123"/>
      <c r="AH106" s="123"/>
      <c r="AI106" s="123"/>
      <c r="AJ106" s="123"/>
      <c r="AK106" s="123"/>
      <c r="AL106" s="123"/>
      <c r="AM106" s="123"/>
      <c r="AN106" s="123"/>
      <c r="AO106" s="123"/>
      <c r="AP106" s="123"/>
      <c r="AQ106" s="123"/>
      <c r="AR106" s="123"/>
      <c r="AS106" s="123"/>
    </row>
    <row r="107" spans="2:45" s="58" customFormat="1" ht="19.95" customHeight="1">
      <c r="B107" s="57"/>
      <c r="D107" s="59"/>
      <c r="N107" s="212"/>
      <c r="O107" s="213"/>
      <c r="P107" s="213"/>
      <c r="Q107" s="213"/>
      <c r="R107" s="60"/>
      <c r="S107" s="124"/>
      <c r="T107" s="124"/>
      <c r="U107" s="124"/>
      <c r="V107" s="124"/>
      <c r="W107" s="124"/>
      <c r="X107" s="124"/>
      <c r="Y107" s="124"/>
      <c r="Z107" s="124"/>
      <c r="AA107" s="124"/>
      <c r="AB107" s="124"/>
      <c r="AC107" s="124"/>
      <c r="AD107" s="124"/>
      <c r="AE107" s="124"/>
      <c r="AF107" s="124"/>
      <c r="AG107" s="124"/>
      <c r="AH107" s="124"/>
      <c r="AI107" s="124"/>
      <c r="AJ107" s="124"/>
      <c r="AK107" s="124"/>
      <c r="AL107" s="124"/>
      <c r="AM107" s="124"/>
      <c r="AN107" s="124"/>
      <c r="AO107" s="124"/>
      <c r="AP107" s="124"/>
      <c r="AQ107" s="124"/>
      <c r="AR107" s="124"/>
      <c r="AS107" s="124"/>
    </row>
    <row r="108" spans="2:45" s="58" customFormat="1" ht="19.95" customHeight="1">
      <c r="B108" s="57"/>
      <c r="D108" s="59"/>
      <c r="N108" s="212"/>
      <c r="O108" s="213"/>
      <c r="P108" s="213"/>
      <c r="Q108" s="213"/>
      <c r="R108" s="60"/>
      <c r="S108" s="124"/>
      <c r="T108" s="124"/>
      <c r="U108" s="124"/>
      <c r="V108" s="124"/>
      <c r="W108" s="124"/>
      <c r="X108" s="124"/>
      <c r="Y108" s="124"/>
      <c r="Z108" s="124"/>
      <c r="AA108" s="124"/>
      <c r="AB108" s="124"/>
      <c r="AC108" s="124"/>
      <c r="AD108" s="124"/>
      <c r="AE108" s="124"/>
      <c r="AF108" s="124"/>
      <c r="AG108" s="124"/>
      <c r="AH108" s="124"/>
      <c r="AI108" s="124"/>
      <c r="AJ108" s="124"/>
      <c r="AK108" s="124"/>
      <c r="AL108" s="124"/>
      <c r="AM108" s="124"/>
      <c r="AN108" s="124"/>
      <c r="AO108" s="124"/>
      <c r="AP108" s="124"/>
      <c r="AQ108" s="124"/>
      <c r="AR108" s="124"/>
      <c r="AS108" s="124"/>
    </row>
    <row r="109" spans="2:45" s="58" customFormat="1" ht="19.95" customHeight="1">
      <c r="B109" s="57"/>
      <c r="D109" s="59"/>
      <c r="N109" s="212"/>
      <c r="O109" s="213"/>
      <c r="P109" s="213"/>
      <c r="Q109" s="213"/>
      <c r="R109" s="60"/>
      <c r="S109" s="124"/>
      <c r="T109" s="124"/>
      <c r="U109" s="124"/>
      <c r="V109" s="124"/>
      <c r="W109" s="124"/>
      <c r="X109" s="124"/>
      <c r="Y109" s="124"/>
      <c r="Z109" s="124"/>
      <c r="AA109" s="124"/>
      <c r="AB109" s="124"/>
      <c r="AC109" s="124"/>
      <c r="AD109" s="124"/>
      <c r="AE109" s="124"/>
      <c r="AF109" s="124"/>
      <c r="AG109" s="124"/>
      <c r="AH109" s="124"/>
      <c r="AI109" s="124"/>
      <c r="AJ109" s="124"/>
      <c r="AK109" s="124"/>
      <c r="AL109" s="124"/>
      <c r="AM109" s="124"/>
      <c r="AN109" s="124"/>
      <c r="AO109" s="124"/>
      <c r="AP109" s="124"/>
      <c r="AQ109" s="124"/>
      <c r="AR109" s="124"/>
      <c r="AS109" s="124"/>
    </row>
    <row r="110" spans="2:45" s="58" customFormat="1" ht="19.95" customHeight="1">
      <c r="B110" s="57"/>
      <c r="D110" s="59"/>
      <c r="N110" s="212"/>
      <c r="O110" s="213"/>
      <c r="P110" s="213"/>
      <c r="Q110" s="213"/>
      <c r="R110" s="60"/>
      <c r="S110" s="124"/>
      <c r="T110" s="124"/>
      <c r="U110" s="124"/>
      <c r="V110" s="124"/>
      <c r="W110" s="124"/>
      <c r="X110" s="124"/>
      <c r="Y110" s="124"/>
      <c r="Z110" s="124"/>
      <c r="AA110" s="124"/>
      <c r="AB110" s="124"/>
      <c r="AC110" s="124"/>
      <c r="AD110" s="124"/>
      <c r="AE110" s="124"/>
      <c r="AF110" s="124"/>
      <c r="AG110" s="124"/>
      <c r="AH110" s="124"/>
      <c r="AI110" s="124"/>
      <c r="AJ110" s="124"/>
      <c r="AK110" s="124"/>
      <c r="AL110" s="124"/>
      <c r="AM110" s="124"/>
      <c r="AN110" s="124"/>
      <c r="AO110" s="124"/>
      <c r="AP110" s="124"/>
      <c r="AQ110" s="124"/>
      <c r="AR110" s="124"/>
      <c r="AS110" s="124"/>
    </row>
    <row r="111" spans="2:45" s="16" customFormat="1" ht="21.75" customHeight="1">
      <c r="B111" s="17"/>
      <c r="R111" s="19"/>
      <c r="S111" s="124"/>
      <c r="T111" s="124"/>
      <c r="U111" s="124"/>
      <c r="V111" s="124"/>
      <c r="W111" s="124"/>
      <c r="X111" s="124"/>
      <c r="Y111" s="124"/>
      <c r="Z111" s="124"/>
      <c r="AA111" s="124"/>
      <c r="AB111" s="124"/>
      <c r="AC111" s="124"/>
      <c r="AD111" s="124"/>
      <c r="AE111" s="124"/>
      <c r="AF111" s="124"/>
      <c r="AG111" s="124"/>
      <c r="AH111" s="124"/>
      <c r="AI111" s="124"/>
      <c r="AJ111" s="124"/>
      <c r="AK111" s="124"/>
      <c r="AL111" s="124"/>
      <c r="AM111" s="124"/>
      <c r="AN111" s="124"/>
      <c r="AO111" s="124"/>
      <c r="AP111" s="124"/>
      <c r="AQ111" s="124"/>
      <c r="AR111" s="124"/>
      <c r="AS111" s="124"/>
    </row>
    <row r="112" spans="2:45" s="16" customFormat="1" ht="29.25" customHeight="1">
      <c r="B112" s="17"/>
      <c r="C112" s="50"/>
      <c r="N112" s="214"/>
      <c r="O112" s="215"/>
      <c r="P112" s="215"/>
      <c r="Q112" s="215"/>
      <c r="R112" s="19"/>
      <c r="S112" s="124"/>
      <c r="T112" s="124"/>
      <c r="U112" s="124"/>
      <c r="V112" s="124"/>
      <c r="W112" s="124"/>
      <c r="X112" s="124"/>
      <c r="Y112" s="124"/>
      <c r="Z112" s="124"/>
      <c r="AA112" s="124"/>
      <c r="AB112" s="124"/>
      <c r="AC112" s="124"/>
      <c r="AD112" s="124"/>
      <c r="AE112" s="124"/>
      <c r="AF112" s="124"/>
      <c r="AG112" s="124"/>
      <c r="AH112" s="124"/>
      <c r="AI112" s="124"/>
      <c r="AJ112" s="124"/>
      <c r="AK112" s="124"/>
      <c r="AL112" s="124"/>
      <c r="AM112" s="124"/>
      <c r="AN112" s="124"/>
      <c r="AO112" s="124"/>
      <c r="AP112" s="124"/>
      <c r="AQ112" s="124"/>
      <c r="AR112" s="124"/>
      <c r="AS112" s="124"/>
    </row>
    <row r="113" spans="2:45" s="16" customFormat="1" ht="18" customHeight="1">
      <c r="B113" s="17"/>
      <c r="R113" s="19"/>
      <c r="S113" s="124"/>
      <c r="T113" s="124"/>
      <c r="U113" s="124"/>
      <c r="V113" s="124"/>
      <c r="W113" s="124"/>
      <c r="X113" s="124"/>
      <c r="Y113" s="124"/>
      <c r="Z113" s="124"/>
      <c r="AA113" s="124"/>
      <c r="AB113" s="124"/>
      <c r="AC113" s="124"/>
      <c r="AD113" s="124"/>
      <c r="AE113" s="124"/>
      <c r="AF113" s="124"/>
      <c r="AG113" s="124"/>
      <c r="AH113" s="124"/>
      <c r="AI113" s="124"/>
      <c r="AJ113" s="124"/>
      <c r="AK113" s="124"/>
      <c r="AL113" s="124"/>
      <c r="AM113" s="124"/>
      <c r="AN113" s="124"/>
      <c r="AO113" s="124"/>
      <c r="AP113" s="124"/>
      <c r="AQ113" s="124"/>
      <c r="AR113" s="124"/>
      <c r="AS113" s="124"/>
    </row>
    <row r="114" spans="2:45" s="16" customFormat="1" ht="29.25" customHeight="1">
      <c r="B114" s="17"/>
      <c r="C114" s="61" t="s">
        <v>439</v>
      </c>
      <c r="D114" s="29"/>
      <c r="E114" s="29"/>
      <c r="F114" s="29"/>
      <c r="G114" s="29"/>
      <c r="H114" s="29"/>
      <c r="I114" s="29"/>
      <c r="J114" s="29"/>
      <c r="K114" s="29"/>
      <c r="L114" s="171">
        <f>ROUND(SUM(N88+N112),2)</f>
        <v>0</v>
      </c>
      <c r="M114" s="171"/>
      <c r="N114" s="171"/>
      <c r="O114" s="171"/>
      <c r="P114" s="171"/>
      <c r="Q114" s="171"/>
      <c r="R114" s="19"/>
      <c r="S114" s="124"/>
      <c r="T114" s="124"/>
      <c r="U114" s="124"/>
      <c r="V114" s="124"/>
      <c r="W114" s="124"/>
      <c r="X114" s="124"/>
      <c r="Y114" s="124"/>
      <c r="Z114" s="124"/>
      <c r="AA114" s="124"/>
      <c r="AB114" s="124"/>
      <c r="AC114" s="124"/>
      <c r="AD114" s="124"/>
      <c r="AE114" s="124"/>
      <c r="AF114" s="124"/>
      <c r="AG114" s="124"/>
      <c r="AH114" s="124"/>
      <c r="AI114" s="124"/>
      <c r="AJ114" s="124"/>
      <c r="AK114" s="124"/>
      <c r="AL114" s="124"/>
      <c r="AM114" s="124"/>
      <c r="AN114" s="124"/>
      <c r="AO114" s="124"/>
      <c r="AP114" s="124"/>
      <c r="AQ114" s="124"/>
      <c r="AR114" s="124"/>
      <c r="AS114" s="124"/>
    </row>
    <row r="115" spans="2:45" s="16" customFormat="1" ht="6.9" customHeight="1">
      <c r="B115" s="42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4"/>
      <c r="S115" s="123"/>
      <c r="T115" s="123"/>
      <c r="U115" s="123"/>
      <c r="V115" s="123"/>
      <c r="W115" s="123"/>
      <c r="X115" s="123"/>
      <c r="Y115" s="123"/>
      <c r="Z115" s="123"/>
      <c r="AA115" s="123"/>
      <c r="AB115" s="123"/>
      <c r="AC115" s="123"/>
      <c r="AD115" s="123"/>
      <c r="AE115" s="123"/>
      <c r="AF115" s="123"/>
      <c r="AG115" s="123"/>
      <c r="AH115" s="123"/>
      <c r="AI115" s="123"/>
      <c r="AJ115" s="123"/>
      <c r="AK115" s="123"/>
      <c r="AL115" s="123"/>
      <c r="AM115" s="123"/>
      <c r="AN115" s="123"/>
      <c r="AO115" s="123"/>
      <c r="AP115" s="123"/>
      <c r="AQ115" s="123"/>
      <c r="AR115" s="123"/>
      <c r="AS115" s="123"/>
    </row>
    <row r="116" spans="2:45" ht="13.2">
      <c r="S116" s="124"/>
      <c r="T116" s="124"/>
      <c r="U116" s="124"/>
      <c r="V116" s="124"/>
      <c r="W116" s="124"/>
      <c r="X116" s="124"/>
      <c r="Y116" s="124"/>
      <c r="Z116" s="124"/>
      <c r="AA116" s="124"/>
      <c r="AB116" s="124"/>
      <c r="AC116" s="124"/>
      <c r="AD116" s="124"/>
      <c r="AE116" s="124"/>
      <c r="AF116" s="124"/>
      <c r="AG116" s="124"/>
      <c r="AH116" s="124"/>
      <c r="AI116" s="124"/>
      <c r="AJ116" s="124"/>
      <c r="AK116" s="124"/>
      <c r="AL116" s="124"/>
      <c r="AM116" s="124"/>
      <c r="AN116" s="124"/>
      <c r="AO116" s="124"/>
      <c r="AP116" s="124"/>
      <c r="AQ116" s="124"/>
      <c r="AR116" s="124"/>
      <c r="AS116" s="124"/>
    </row>
    <row r="117" spans="2:45" ht="13.2">
      <c r="S117" s="124"/>
      <c r="T117" s="124"/>
      <c r="U117" s="124"/>
      <c r="V117" s="124"/>
      <c r="W117" s="124"/>
      <c r="X117" s="124"/>
      <c r="Y117" s="124"/>
      <c r="Z117" s="124"/>
      <c r="AA117" s="124"/>
      <c r="AB117" s="124"/>
      <c r="AC117" s="124"/>
      <c r="AD117" s="124"/>
      <c r="AE117" s="124"/>
      <c r="AF117" s="124"/>
      <c r="AG117" s="124"/>
      <c r="AH117" s="124"/>
      <c r="AI117" s="124"/>
      <c r="AJ117" s="124"/>
      <c r="AK117" s="124"/>
      <c r="AL117" s="124"/>
      <c r="AM117" s="124"/>
      <c r="AN117" s="124"/>
      <c r="AO117" s="124"/>
      <c r="AP117" s="124"/>
      <c r="AQ117" s="124"/>
      <c r="AR117" s="124"/>
      <c r="AS117" s="124"/>
    </row>
    <row r="118" spans="2:45" ht="13.2">
      <c r="S118" s="124"/>
      <c r="T118" s="124"/>
      <c r="U118" s="124"/>
      <c r="V118" s="124"/>
      <c r="W118" s="124"/>
      <c r="X118" s="124"/>
      <c r="Y118" s="124"/>
      <c r="Z118" s="124"/>
      <c r="AA118" s="124"/>
      <c r="AB118" s="124"/>
      <c r="AC118" s="124"/>
      <c r="AD118" s="124"/>
      <c r="AE118" s="124"/>
      <c r="AF118" s="124"/>
      <c r="AG118" s="124"/>
      <c r="AH118" s="124"/>
      <c r="AI118" s="124"/>
      <c r="AJ118" s="124"/>
      <c r="AK118" s="124"/>
      <c r="AL118" s="124"/>
      <c r="AM118" s="124"/>
      <c r="AN118" s="124"/>
      <c r="AO118" s="124"/>
      <c r="AP118" s="124"/>
      <c r="AQ118" s="124"/>
      <c r="AR118" s="124"/>
      <c r="AS118" s="124"/>
    </row>
    <row r="119" spans="2:45" s="16" customFormat="1" ht="6.9" customHeight="1">
      <c r="B119" s="45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7"/>
      <c r="S119" s="124"/>
      <c r="T119" s="124"/>
      <c r="U119" s="124"/>
      <c r="V119" s="124"/>
      <c r="W119" s="124"/>
      <c r="X119" s="124"/>
      <c r="Y119" s="124"/>
      <c r="Z119" s="124"/>
      <c r="AA119" s="124"/>
      <c r="AB119" s="124"/>
      <c r="AC119" s="124"/>
      <c r="AD119" s="124"/>
      <c r="AE119" s="124"/>
      <c r="AF119" s="124"/>
      <c r="AG119" s="124"/>
      <c r="AH119" s="124"/>
      <c r="AI119" s="124"/>
      <c r="AJ119" s="124"/>
      <c r="AK119" s="124"/>
      <c r="AL119" s="124"/>
      <c r="AM119" s="124"/>
      <c r="AN119" s="124"/>
      <c r="AO119" s="124"/>
      <c r="AP119" s="124"/>
      <c r="AQ119" s="124"/>
      <c r="AR119" s="124"/>
      <c r="AS119" s="124"/>
    </row>
    <row r="120" spans="2:45" s="16" customFormat="1" ht="36.9" customHeight="1">
      <c r="B120" s="17"/>
      <c r="C120" s="162" t="s">
        <v>101</v>
      </c>
      <c r="D120" s="216"/>
      <c r="E120" s="216"/>
      <c r="F120" s="216"/>
      <c r="G120" s="216"/>
      <c r="H120" s="216"/>
      <c r="I120" s="216"/>
      <c r="J120" s="216"/>
      <c r="K120" s="216"/>
      <c r="L120" s="216"/>
      <c r="M120" s="216"/>
      <c r="N120" s="216"/>
      <c r="O120" s="216"/>
      <c r="P120" s="216"/>
      <c r="Q120" s="216"/>
      <c r="R120" s="19"/>
    </row>
    <row r="121" spans="2:45" s="16" customFormat="1" ht="6.9" customHeight="1">
      <c r="B121" s="17"/>
      <c r="R121" s="19"/>
    </row>
    <row r="122" spans="2:45" s="16" customFormat="1" ht="30" customHeight="1">
      <c r="B122" s="17"/>
      <c r="C122" s="15" t="s">
        <v>12</v>
      </c>
      <c r="F122" s="217" t="str">
        <f>F6</f>
        <v>Revitalizace objektu MŠ-Srdíčko v Praze 12</v>
      </c>
      <c r="G122" s="218"/>
      <c r="H122" s="218"/>
      <c r="I122" s="218"/>
      <c r="J122" s="218"/>
      <c r="K122" s="218"/>
      <c r="L122" s="218"/>
      <c r="M122" s="218"/>
      <c r="N122" s="218"/>
      <c r="O122" s="218"/>
      <c r="P122" s="218"/>
      <c r="R122" s="19"/>
      <c r="S122" s="125"/>
      <c r="T122" s="125"/>
      <c r="U122" s="125"/>
      <c r="V122" s="125"/>
      <c r="W122" s="125"/>
      <c r="X122" s="125"/>
      <c r="Y122" s="125"/>
      <c r="Z122" s="125"/>
      <c r="AA122" s="125"/>
      <c r="AB122" s="125"/>
      <c r="AC122" s="125"/>
      <c r="AD122" s="125"/>
      <c r="AE122" s="125"/>
      <c r="AF122" s="125"/>
      <c r="AG122" s="125"/>
      <c r="AH122" s="125"/>
      <c r="AI122" s="125"/>
      <c r="AJ122" s="125"/>
      <c r="AK122" s="125"/>
      <c r="AL122" s="125"/>
      <c r="AM122" s="125"/>
      <c r="AN122" s="125"/>
      <c r="AO122" s="125"/>
      <c r="AP122" s="125"/>
      <c r="AQ122" s="125"/>
      <c r="AR122" s="125"/>
      <c r="AS122" s="125"/>
    </row>
    <row r="123" spans="2:45" s="16" customFormat="1" ht="36.9" customHeight="1">
      <c r="B123" s="17"/>
      <c r="C123" s="48" t="s">
        <v>69</v>
      </c>
      <c r="F123" s="188" t="str">
        <f>F7</f>
        <v>obj. A - Zateplení obvodového pláště a stropu</v>
      </c>
      <c r="G123" s="216"/>
      <c r="H123" s="216"/>
      <c r="I123" s="216"/>
      <c r="J123" s="216"/>
      <c r="K123" s="216"/>
      <c r="L123" s="216"/>
      <c r="M123" s="216"/>
      <c r="N123" s="216"/>
      <c r="O123" s="216"/>
      <c r="P123" s="216"/>
      <c r="R123" s="19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</row>
    <row r="124" spans="2:45" s="16" customFormat="1" ht="6.9" customHeight="1">
      <c r="B124" s="17"/>
      <c r="R124" s="19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</row>
    <row r="125" spans="2:45" s="16" customFormat="1" ht="18" customHeight="1">
      <c r="B125" s="17"/>
      <c r="C125" s="15" t="s">
        <v>16</v>
      </c>
      <c r="F125" s="20" t="str">
        <f>F9</f>
        <v>Levského 3203/19, Praha 12 - Modřany</v>
      </c>
      <c r="K125" s="15" t="s">
        <v>18</v>
      </c>
      <c r="M125" s="209" t="str">
        <f>IF(O9="","",O9)</f>
        <v>Vyplň údaj</v>
      </c>
      <c r="N125" s="209"/>
      <c r="O125" s="209"/>
      <c r="P125" s="209"/>
      <c r="R125" s="19"/>
    </row>
    <row r="126" spans="2:45" s="16" customFormat="1" ht="6.9" customHeight="1">
      <c r="B126" s="17"/>
      <c r="R126" s="19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D126" s="111"/>
      <c r="AE126" s="111"/>
      <c r="AF126" s="111"/>
      <c r="AG126" s="111"/>
      <c r="AH126" s="111"/>
      <c r="AI126" s="111"/>
      <c r="AJ126" s="111"/>
      <c r="AK126" s="111"/>
      <c r="AL126" s="111"/>
      <c r="AM126" s="111"/>
      <c r="AN126" s="111"/>
      <c r="AO126" s="111"/>
      <c r="AP126" s="111"/>
      <c r="AQ126" s="111"/>
      <c r="AR126" s="111"/>
      <c r="AS126" s="111"/>
    </row>
    <row r="127" spans="2:45" s="16" customFormat="1" ht="13.2">
      <c r="B127" s="17"/>
      <c r="C127" s="15" t="s">
        <v>19</v>
      </c>
      <c r="F127" s="20" t="str">
        <f>E12</f>
        <v>Městská část Praha 12</v>
      </c>
      <c r="K127" s="15" t="s">
        <v>24</v>
      </c>
      <c r="M127" s="164" t="str">
        <f>E18</f>
        <v>Projektová kancelář ATLAS  s.r.o.</v>
      </c>
      <c r="N127" s="164"/>
      <c r="O127" s="164"/>
      <c r="P127" s="164"/>
      <c r="Q127" s="164"/>
      <c r="R127" s="19"/>
      <c r="S127" s="111"/>
      <c r="T127" s="111"/>
      <c r="U127" s="111"/>
      <c r="V127" s="111"/>
      <c r="W127" s="111"/>
      <c r="X127" s="111"/>
      <c r="Y127" s="111"/>
      <c r="Z127" s="111"/>
      <c r="AA127" s="111"/>
      <c r="AB127" s="111"/>
      <c r="AC127" s="111"/>
      <c r="AD127" s="111"/>
      <c r="AE127" s="111"/>
      <c r="AF127" s="111"/>
      <c r="AG127" s="111"/>
      <c r="AH127" s="111"/>
      <c r="AI127" s="111"/>
      <c r="AJ127" s="111"/>
      <c r="AK127" s="111"/>
      <c r="AL127" s="111"/>
      <c r="AM127" s="111"/>
      <c r="AN127" s="111"/>
      <c r="AO127" s="111"/>
      <c r="AP127" s="111"/>
      <c r="AQ127" s="111"/>
      <c r="AR127" s="111"/>
      <c r="AS127" s="111"/>
    </row>
    <row r="128" spans="2:45" s="16" customFormat="1" ht="14.4" customHeight="1">
      <c r="B128" s="17"/>
      <c r="C128" s="15" t="s">
        <v>23</v>
      </c>
      <c r="F128" s="20" t="str">
        <f>IF(E15="","",E15)</f>
        <v>Vyplň údaj</v>
      </c>
      <c r="K128" s="15" t="s">
        <v>26</v>
      </c>
      <c r="M128" s="164" t="str">
        <f>E21</f>
        <v>Vyplň údaj</v>
      </c>
      <c r="N128" s="164"/>
      <c r="O128" s="164"/>
      <c r="P128" s="164"/>
      <c r="Q128" s="164"/>
      <c r="R128" s="19"/>
      <c r="S128" s="111"/>
      <c r="T128" s="111"/>
      <c r="U128" s="111"/>
      <c r="V128" s="111"/>
      <c r="W128" s="111"/>
      <c r="X128" s="111"/>
      <c r="Y128" s="111"/>
      <c r="Z128" s="111"/>
      <c r="AA128" s="111"/>
      <c r="AB128" s="111"/>
      <c r="AC128" s="111"/>
      <c r="AD128" s="111"/>
      <c r="AE128" s="111"/>
      <c r="AF128" s="111"/>
      <c r="AG128" s="111"/>
      <c r="AH128" s="111"/>
      <c r="AI128" s="111"/>
      <c r="AJ128" s="111"/>
      <c r="AK128" s="111"/>
      <c r="AL128" s="111"/>
      <c r="AM128" s="111"/>
      <c r="AN128" s="111"/>
      <c r="AO128" s="111"/>
      <c r="AP128" s="111"/>
      <c r="AQ128" s="111"/>
      <c r="AR128" s="111"/>
      <c r="AS128" s="111"/>
    </row>
    <row r="129" spans="2:70" s="16" customFormat="1" ht="10.35" customHeight="1">
      <c r="B129" s="17"/>
      <c r="R129" s="19"/>
    </row>
    <row r="130" spans="2:70" s="49" customFormat="1" ht="29.25" customHeight="1">
      <c r="B130" s="64"/>
      <c r="C130" s="65" t="s">
        <v>102</v>
      </c>
      <c r="D130" s="66" t="s">
        <v>103</v>
      </c>
      <c r="E130" s="66" t="s">
        <v>48</v>
      </c>
      <c r="F130" s="210" t="s">
        <v>104</v>
      </c>
      <c r="G130" s="210"/>
      <c r="H130" s="210"/>
      <c r="I130" s="210"/>
      <c r="J130" s="66" t="s">
        <v>105</v>
      </c>
      <c r="K130" s="66" t="s">
        <v>106</v>
      </c>
      <c r="L130" s="210" t="s">
        <v>107</v>
      </c>
      <c r="M130" s="210"/>
      <c r="N130" s="210" t="s">
        <v>76</v>
      </c>
      <c r="O130" s="210"/>
      <c r="P130" s="210"/>
      <c r="Q130" s="211"/>
      <c r="R130" s="67"/>
      <c r="S130" s="126"/>
      <c r="T130" s="126"/>
      <c r="U130" s="126"/>
      <c r="V130" s="126"/>
      <c r="W130" s="126"/>
      <c r="X130" s="126"/>
      <c r="Y130" s="126"/>
      <c r="Z130" s="126"/>
      <c r="AA130" s="126"/>
      <c r="AB130" s="126"/>
      <c r="AC130" s="126"/>
      <c r="AD130" s="126"/>
      <c r="AE130" s="126"/>
      <c r="AF130" s="126"/>
      <c r="AG130" s="126"/>
      <c r="AH130" s="126"/>
      <c r="AI130" s="126"/>
      <c r="AJ130" s="126"/>
      <c r="AK130" s="126"/>
      <c r="AL130" s="126"/>
      <c r="AM130" s="126"/>
      <c r="AN130" s="126"/>
      <c r="AO130" s="126"/>
      <c r="AP130" s="126"/>
      <c r="AQ130" s="126"/>
      <c r="AR130" s="126"/>
      <c r="AS130" s="126"/>
    </row>
    <row r="131" spans="2:70" s="16" customFormat="1" ht="29.25" customHeight="1">
      <c r="B131" s="17"/>
      <c r="C131" s="71" t="s">
        <v>72</v>
      </c>
      <c r="N131" s="205">
        <f>+N132+N216+N261</f>
        <v>0</v>
      </c>
      <c r="O131" s="206"/>
      <c r="P131" s="206"/>
      <c r="Q131" s="206"/>
      <c r="R131" s="19"/>
      <c r="S131" s="111"/>
      <c r="T131" s="111"/>
      <c r="U131" s="111"/>
      <c r="V131" s="111"/>
      <c r="W131" s="111"/>
      <c r="X131" s="111"/>
      <c r="Y131" s="111"/>
      <c r="Z131" s="111"/>
      <c r="AA131" s="111"/>
      <c r="AB131" s="111"/>
      <c r="AC131" s="111"/>
      <c r="AD131" s="111"/>
      <c r="AE131" s="111"/>
      <c r="AF131" s="111"/>
      <c r="AG131" s="111"/>
      <c r="AH131" s="111"/>
      <c r="AI131" s="111"/>
      <c r="AJ131" s="111"/>
      <c r="AK131" s="111"/>
      <c r="AL131" s="111"/>
      <c r="AM131" s="111"/>
      <c r="AN131" s="111"/>
      <c r="AO131" s="111"/>
      <c r="AP131" s="111"/>
      <c r="AQ131" s="111"/>
      <c r="AR131" s="111"/>
      <c r="AS131" s="111"/>
      <c r="AY131" s="8" t="s">
        <v>53</v>
      </c>
      <c r="AZ131" s="8" t="s">
        <v>78</v>
      </c>
      <c r="BP131" s="75" t="e">
        <f>BP132+BP216+#REF!</f>
        <v>#REF!</v>
      </c>
    </row>
    <row r="132" spans="2:70" s="77" customFormat="1" ht="37.35" customHeight="1">
      <c r="B132" s="76"/>
      <c r="D132" s="78" t="s">
        <v>79</v>
      </c>
      <c r="E132" s="78"/>
      <c r="F132" s="78"/>
      <c r="G132" s="78"/>
      <c r="H132" s="78"/>
      <c r="I132" s="78"/>
      <c r="J132" s="78"/>
      <c r="K132" s="78"/>
      <c r="L132" s="78"/>
      <c r="M132" s="78"/>
      <c r="N132" s="207">
        <f>+N133+N140+N142+N147+N149+N162+N195+N208+N214</f>
        <v>0</v>
      </c>
      <c r="O132" s="208"/>
      <c r="P132" s="208"/>
      <c r="Q132" s="208"/>
      <c r="R132" s="79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W132" s="83" t="s">
        <v>56</v>
      </c>
      <c r="AY132" s="84" t="s">
        <v>53</v>
      </c>
      <c r="AZ132" s="84" t="s">
        <v>54</v>
      </c>
      <c r="BD132" s="83" t="s">
        <v>115</v>
      </c>
      <c r="BP132" s="56" t="e">
        <f>BP133+BP140+BP142+BP147+BP149+BP162+#REF!+BP195+BP208+BP214</f>
        <v>#REF!</v>
      </c>
    </row>
    <row r="133" spans="2:70" s="77" customFormat="1" ht="19.95" customHeight="1">
      <c r="B133" s="76"/>
      <c r="D133" s="86" t="s">
        <v>80</v>
      </c>
      <c r="E133" s="86"/>
      <c r="F133" s="86"/>
      <c r="G133" s="86"/>
      <c r="H133" s="86"/>
      <c r="I133" s="86"/>
      <c r="J133" s="86"/>
      <c r="K133" s="86"/>
      <c r="L133" s="86"/>
      <c r="M133" s="86"/>
      <c r="N133" s="200">
        <f>SUM(N134:Q139)</f>
        <v>0</v>
      </c>
      <c r="O133" s="201"/>
      <c r="P133" s="201"/>
      <c r="Q133" s="201"/>
      <c r="R133" s="79"/>
      <c r="S133" s="111"/>
      <c r="T133" s="111"/>
      <c r="U133" s="111"/>
      <c r="V133" s="111"/>
      <c r="W133" s="111"/>
      <c r="X133" s="111"/>
      <c r="Y133" s="111"/>
      <c r="Z133" s="111"/>
      <c r="AA133" s="111"/>
      <c r="AB133" s="111"/>
      <c r="AC133" s="111"/>
      <c r="AD133" s="111"/>
      <c r="AE133" s="111"/>
      <c r="AF133" s="111"/>
      <c r="AG133" s="111"/>
      <c r="AH133" s="111"/>
      <c r="AI133" s="111"/>
      <c r="AJ133" s="111"/>
      <c r="AK133" s="111"/>
      <c r="AL133" s="111"/>
      <c r="AM133" s="111"/>
      <c r="AN133" s="111"/>
      <c r="AO133" s="111"/>
      <c r="AP133" s="111"/>
      <c r="AQ133" s="111"/>
      <c r="AR133" s="111"/>
      <c r="AS133" s="111"/>
      <c r="AW133" s="83" t="s">
        <v>56</v>
      </c>
      <c r="AY133" s="84" t="s">
        <v>53</v>
      </c>
      <c r="AZ133" s="84" t="s">
        <v>56</v>
      </c>
      <c r="BD133" s="83" t="s">
        <v>115</v>
      </c>
      <c r="BP133" s="56">
        <f>SUM(BP134:BP139)</f>
        <v>0</v>
      </c>
    </row>
    <row r="134" spans="2:70" s="16" customFormat="1" ht="25.5" customHeight="1">
      <c r="B134" s="17"/>
      <c r="C134" s="87" t="s">
        <v>56</v>
      </c>
      <c r="D134" s="87" t="s">
        <v>116</v>
      </c>
      <c r="E134" s="88" t="s">
        <v>117</v>
      </c>
      <c r="F134" s="192" t="s">
        <v>118</v>
      </c>
      <c r="G134" s="192"/>
      <c r="H134" s="192"/>
      <c r="I134" s="192"/>
      <c r="J134" s="89" t="s">
        <v>119</v>
      </c>
      <c r="K134" s="90">
        <v>45.274999999999999</v>
      </c>
      <c r="L134" s="193"/>
      <c r="M134" s="194"/>
      <c r="N134" s="195">
        <f t="shared" ref="N134:N139" si="0">ROUND(L134*K134,2)</f>
        <v>0</v>
      </c>
      <c r="O134" s="195"/>
      <c r="P134" s="195"/>
      <c r="Q134" s="195"/>
      <c r="R134" s="19"/>
      <c r="S134" s="111"/>
      <c r="T134" s="111"/>
      <c r="U134" s="111"/>
      <c r="V134" s="111"/>
      <c r="W134" s="111"/>
      <c r="X134" s="111"/>
      <c r="Y134" s="111"/>
      <c r="Z134" s="111"/>
      <c r="AA134" s="111"/>
      <c r="AB134" s="111"/>
      <c r="AC134" s="111"/>
      <c r="AD134" s="111"/>
      <c r="AE134" s="111"/>
      <c r="AF134" s="111"/>
      <c r="AG134" s="111"/>
      <c r="AH134" s="111"/>
      <c r="AI134" s="111"/>
      <c r="AJ134" s="111"/>
      <c r="AK134" s="111"/>
      <c r="AL134" s="111"/>
      <c r="AM134" s="111"/>
      <c r="AN134" s="111"/>
      <c r="AO134" s="111"/>
      <c r="AP134" s="111"/>
      <c r="AQ134" s="111"/>
      <c r="AR134" s="111"/>
      <c r="AS134" s="111"/>
      <c r="AW134" s="8" t="s">
        <v>120</v>
      </c>
      <c r="AY134" s="8" t="s">
        <v>116</v>
      </c>
      <c r="AZ134" s="8" t="s">
        <v>67</v>
      </c>
      <c r="BD134" s="8" t="s">
        <v>115</v>
      </c>
      <c r="BJ134" s="51" t="e">
        <f>IF(#REF!="základní",N134,0)</f>
        <v>#REF!</v>
      </c>
      <c r="BK134" s="51" t="e">
        <f>IF(#REF!="snížená",N134,0)</f>
        <v>#REF!</v>
      </c>
      <c r="BL134" s="51" t="e">
        <f>IF(#REF!="zákl. přenesená",N134,0)</f>
        <v>#REF!</v>
      </c>
      <c r="BM134" s="51" t="e">
        <f>IF(#REF!="sníž. přenesená",N134,0)</f>
        <v>#REF!</v>
      </c>
      <c r="BN134" s="51" t="e">
        <f>IF(#REF!="nulová",N134,0)</f>
        <v>#REF!</v>
      </c>
      <c r="BO134" s="8" t="s">
        <v>56</v>
      </c>
      <c r="BP134" s="51">
        <f t="shared" ref="BP134:BP139" si="1">ROUND(L134*K134,2)</f>
        <v>0</v>
      </c>
      <c r="BQ134" s="8" t="s">
        <v>120</v>
      </c>
      <c r="BR134" s="8" t="s">
        <v>121</v>
      </c>
    </row>
    <row r="135" spans="2:70" s="16" customFormat="1" ht="25.5" customHeight="1">
      <c r="B135" s="17"/>
      <c r="C135" s="87">
        <f>+C134+1</f>
        <v>2</v>
      </c>
      <c r="D135" s="87" t="s">
        <v>116</v>
      </c>
      <c r="E135" s="88" t="s">
        <v>546</v>
      </c>
      <c r="F135" s="192" t="s">
        <v>122</v>
      </c>
      <c r="G135" s="192"/>
      <c r="H135" s="192"/>
      <c r="I135" s="192"/>
      <c r="J135" s="89" t="s">
        <v>123</v>
      </c>
      <c r="K135" s="90">
        <v>247.91</v>
      </c>
      <c r="L135" s="193"/>
      <c r="M135" s="194"/>
      <c r="N135" s="195">
        <f t="shared" si="0"/>
        <v>0</v>
      </c>
      <c r="O135" s="195"/>
      <c r="P135" s="195"/>
      <c r="Q135" s="195"/>
      <c r="R135" s="19"/>
      <c r="S135" s="111"/>
      <c r="T135" s="111"/>
      <c r="U135" s="111"/>
      <c r="V135" s="111"/>
      <c r="W135" s="111"/>
      <c r="X135" s="111"/>
      <c r="Y135" s="111"/>
      <c r="Z135" s="111"/>
      <c r="AA135" s="111"/>
      <c r="AB135" s="111"/>
      <c r="AC135" s="111"/>
      <c r="AD135" s="111"/>
      <c r="AE135" s="111"/>
      <c r="AF135" s="111"/>
      <c r="AG135" s="111"/>
      <c r="AH135" s="111"/>
      <c r="AI135" s="111"/>
      <c r="AJ135" s="111"/>
      <c r="AK135" s="111"/>
      <c r="AL135" s="111"/>
      <c r="AM135" s="111"/>
      <c r="AN135" s="111"/>
      <c r="AO135" s="111"/>
      <c r="AP135" s="111"/>
      <c r="AQ135" s="111"/>
      <c r="AR135" s="111"/>
      <c r="AS135" s="111"/>
      <c r="AW135" s="8" t="s">
        <v>120</v>
      </c>
      <c r="AY135" s="8" t="s">
        <v>116</v>
      </c>
      <c r="AZ135" s="8" t="s">
        <v>67</v>
      </c>
      <c r="BD135" s="8" t="s">
        <v>115</v>
      </c>
      <c r="BJ135" s="51" t="e">
        <f>IF(#REF!="základní",N135,0)</f>
        <v>#REF!</v>
      </c>
      <c r="BK135" s="51" t="e">
        <f>IF(#REF!="snížená",N135,0)</f>
        <v>#REF!</v>
      </c>
      <c r="BL135" s="51" t="e">
        <f>IF(#REF!="zákl. přenesená",N135,0)</f>
        <v>#REF!</v>
      </c>
      <c r="BM135" s="51" t="e">
        <f>IF(#REF!="sníž. přenesená",N135,0)</f>
        <v>#REF!</v>
      </c>
      <c r="BN135" s="51" t="e">
        <f>IF(#REF!="nulová",N135,0)</f>
        <v>#REF!</v>
      </c>
      <c r="BO135" s="8" t="s">
        <v>56</v>
      </c>
      <c r="BP135" s="51">
        <f t="shared" si="1"/>
        <v>0</v>
      </c>
      <c r="BQ135" s="8" t="s">
        <v>120</v>
      </c>
      <c r="BR135" s="8" t="s">
        <v>124</v>
      </c>
    </row>
    <row r="136" spans="2:70" s="16" customFormat="1" ht="25.5" customHeight="1">
      <c r="B136" s="17"/>
      <c r="C136" s="87">
        <f t="shared" ref="C136:C139" si="2">+C135+1</f>
        <v>3</v>
      </c>
      <c r="D136" s="87" t="s">
        <v>116</v>
      </c>
      <c r="E136" s="88" t="s">
        <v>548</v>
      </c>
      <c r="F136" s="192" t="s">
        <v>549</v>
      </c>
      <c r="G136" s="192"/>
      <c r="H136" s="192"/>
      <c r="I136" s="192"/>
      <c r="J136" s="89" t="s">
        <v>123</v>
      </c>
      <c r="K136" s="90">
        <v>134</v>
      </c>
      <c r="L136" s="193"/>
      <c r="M136" s="194"/>
      <c r="N136" s="195">
        <f t="shared" si="0"/>
        <v>0</v>
      </c>
      <c r="O136" s="195"/>
      <c r="P136" s="195"/>
      <c r="Q136" s="195"/>
      <c r="R136" s="19"/>
      <c r="S136" s="111"/>
      <c r="T136" s="111"/>
      <c r="U136" s="111"/>
      <c r="V136" s="111"/>
      <c r="W136" s="111"/>
      <c r="X136" s="111"/>
      <c r="Y136" s="111"/>
      <c r="Z136" s="111"/>
      <c r="AA136" s="111"/>
      <c r="AB136" s="111"/>
      <c r="AC136" s="111"/>
      <c r="AD136" s="111"/>
      <c r="AE136" s="111"/>
      <c r="AF136" s="111"/>
      <c r="AG136" s="111"/>
      <c r="AH136" s="111"/>
      <c r="AI136" s="111"/>
      <c r="AJ136" s="111"/>
      <c r="AK136" s="111"/>
      <c r="AL136" s="111"/>
      <c r="AM136" s="111"/>
      <c r="AN136" s="111"/>
      <c r="AO136" s="111"/>
      <c r="AP136" s="111"/>
      <c r="AQ136" s="111"/>
      <c r="AR136" s="111"/>
      <c r="AS136" s="111"/>
      <c r="AW136" s="8" t="s">
        <v>120</v>
      </c>
      <c r="AY136" s="8" t="s">
        <v>116</v>
      </c>
      <c r="AZ136" s="8" t="s">
        <v>67</v>
      </c>
      <c r="BD136" s="8" t="s">
        <v>115</v>
      </c>
      <c r="BJ136" s="51" t="e">
        <f>IF(#REF!="základní",N136,0)</f>
        <v>#REF!</v>
      </c>
      <c r="BK136" s="51" t="e">
        <f>IF(#REF!="snížená",N136,0)</f>
        <v>#REF!</v>
      </c>
      <c r="BL136" s="51" t="e">
        <f>IF(#REF!="zákl. přenesená",N136,0)</f>
        <v>#REF!</v>
      </c>
      <c r="BM136" s="51" t="e">
        <f>IF(#REF!="sníž. přenesená",N136,0)</f>
        <v>#REF!</v>
      </c>
      <c r="BN136" s="51" t="e">
        <f>IF(#REF!="nulová",N136,0)</f>
        <v>#REF!</v>
      </c>
      <c r="BO136" s="8" t="s">
        <v>56</v>
      </c>
      <c r="BP136" s="51">
        <f t="shared" si="1"/>
        <v>0</v>
      </c>
      <c r="BQ136" s="8" t="s">
        <v>120</v>
      </c>
      <c r="BR136" s="8" t="s">
        <v>126</v>
      </c>
    </row>
    <row r="137" spans="2:70" s="16" customFormat="1" ht="25.5" customHeight="1">
      <c r="B137" s="17"/>
      <c r="C137" s="87">
        <f t="shared" si="2"/>
        <v>4</v>
      </c>
      <c r="D137" s="87" t="s">
        <v>116</v>
      </c>
      <c r="E137" s="88" t="s">
        <v>550</v>
      </c>
      <c r="F137" s="192" t="s">
        <v>128</v>
      </c>
      <c r="G137" s="192"/>
      <c r="H137" s="192"/>
      <c r="I137" s="192"/>
      <c r="J137" s="89" t="s">
        <v>123</v>
      </c>
      <c r="K137" s="90">
        <v>134</v>
      </c>
      <c r="L137" s="193"/>
      <c r="M137" s="194"/>
      <c r="N137" s="195">
        <f t="shared" si="0"/>
        <v>0</v>
      </c>
      <c r="O137" s="195"/>
      <c r="P137" s="195"/>
      <c r="Q137" s="195"/>
      <c r="R137" s="19"/>
      <c r="S137" s="111"/>
      <c r="T137" s="111"/>
      <c r="U137" s="111"/>
      <c r="V137" s="111"/>
      <c r="W137" s="111"/>
      <c r="X137" s="111"/>
      <c r="Y137" s="111"/>
      <c r="Z137" s="111"/>
      <c r="AA137" s="111"/>
      <c r="AB137" s="111"/>
      <c r="AC137" s="111"/>
      <c r="AD137" s="111"/>
      <c r="AE137" s="111"/>
      <c r="AF137" s="111"/>
      <c r="AG137" s="111"/>
      <c r="AH137" s="111"/>
      <c r="AI137" s="111"/>
      <c r="AJ137" s="111"/>
      <c r="AK137" s="111"/>
      <c r="AL137" s="111"/>
      <c r="AM137" s="111"/>
      <c r="AN137" s="111"/>
      <c r="AO137" s="111"/>
      <c r="AP137" s="111"/>
      <c r="AQ137" s="111"/>
      <c r="AR137" s="111"/>
      <c r="AS137" s="111"/>
      <c r="AW137" s="8" t="s">
        <v>120</v>
      </c>
      <c r="AY137" s="8" t="s">
        <v>116</v>
      </c>
      <c r="AZ137" s="8" t="s">
        <v>67</v>
      </c>
      <c r="BD137" s="8" t="s">
        <v>115</v>
      </c>
      <c r="BJ137" s="51" t="e">
        <f>IF(#REF!="základní",N137,0)</f>
        <v>#REF!</v>
      </c>
      <c r="BK137" s="51" t="e">
        <f>IF(#REF!="snížená",N137,0)</f>
        <v>#REF!</v>
      </c>
      <c r="BL137" s="51" t="e">
        <f>IF(#REF!="zákl. přenesená",N137,0)</f>
        <v>#REF!</v>
      </c>
      <c r="BM137" s="51" t="e">
        <f>IF(#REF!="sníž. přenesená",N137,0)</f>
        <v>#REF!</v>
      </c>
      <c r="BN137" s="51" t="e">
        <f>IF(#REF!="nulová",N137,0)</f>
        <v>#REF!</v>
      </c>
      <c r="BO137" s="8" t="s">
        <v>56</v>
      </c>
      <c r="BP137" s="51">
        <f t="shared" si="1"/>
        <v>0</v>
      </c>
      <c r="BQ137" s="8" t="s">
        <v>120</v>
      </c>
      <c r="BR137" s="8" t="s">
        <v>129</v>
      </c>
    </row>
    <row r="138" spans="2:70" s="16" customFormat="1" ht="31.5" customHeight="1">
      <c r="B138" s="17"/>
      <c r="C138" s="87">
        <f t="shared" si="2"/>
        <v>5</v>
      </c>
      <c r="D138" s="87" t="s">
        <v>116</v>
      </c>
      <c r="E138" s="88" t="s">
        <v>551</v>
      </c>
      <c r="F138" s="192" t="s">
        <v>552</v>
      </c>
      <c r="G138" s="192"/>
      <c r="H138" s="192"/>
      <c r="I138" s="192"/>
      <c r="J138" s="89" t="s">
        <v>123</v>
      </c>
      <c r="K138" s="90">
        <f>95.7*1.6</f>
        <v>153.12</v>
      </c>
      <c r="L138" s="193"/>
      <c r="M138" s="194"/>
      <c r="N138" s="195">
        <f t="shared" si="0"/>
        <v>0</v>
      </c>
      <c r="O138" s="195"/>
      <c r="P138" s="195"/>
      <c r="Q138" s="195"/>
      <c r="R138" s="19"/>
      <c r="S138" s="111"/>
      <c r="T138" s="111"/>
      <c r="U138" s="111"/>
      <c r="V138" s="111"/>
      <c r="W138" s="111"/>
      <c r="X138" s="111"/>
      <c r="Y138" s="111"/>
      <c r="Z138" s="111"/>
      <c r="AA138" s="111"/>
      <c r="AB138" s="111"/>
      <c r="AC138" s="111"/>
      <c r="AD138" s="111"/>
      <c r="AE138" s="111"/>
      <c r="AF138" s="111"/>
      <c r="AG138" s="111"/>
      <c r="AH138" s="111"/>
      <c r="AI138" s="111"/>
      <c r="AJ138" s="111"/>
      <c r="AK138" s="111"/>
      <c r="AL138" s="111"/>
      <c r="AM138" s="111"/>
      <c r="AN138" s="111"/>
      <c r="AO138" s="111"/>
      <c r="AP138" s="111"/>
      <c r="AQ138" s="111"/>
      <c r="AR138" s="111"/>
      <c r="AS138" s="111"/>
      <c r="AW138" s="8" t="s">
        <v>120</v>
      </c>
      <c r="AY138" s="8" t="s">
        <v>116</v>
      </c>
      <c r="AZ138" s="8" t="s">
        <v>67</v>
      </c>
      <c r="BD138" s="8" t="s">
        <v>115</v>
      </c>
      <c r="BJ138" s="51" t="e">
        <f>IF(#REF!="základní",N138,0)</f>
        <v>#REF!</v>
      </c>
      <c r="BK138" s="51" t="e">
        <f>IF(#REF!="snížená",N138,0)</f>
        <v>#REF!</v>
      </c>
      <c r="BL138" s="51" t="e">
        <f>IF(#REF!="zákl. přenesená",N138,0)</f>
        <v>#REF!</v>
      </c>
      <c r="BM138" s="51" t="e">
        <f>IF(#REF!="sníž. přenesená",N138,0)</f>
        <v>#REF!</v>
      </c>
      <c r="BN138" s="51" t="e">
        <f>IF(#REF!="nulová",N138,0)</f>
        <v>#REF!</v>
      </c>
      <c r="BO138" s="8" t="s">
        <v>56</v>
      </c>
      <c r="BP138" s="51">
        <f t="shared" si="1"/>
        <v>0</v>
      </c>
      <c r="BQ138" s="8" t="s">
        <v>120</v>
      </c>
      <c r="BR138" s="8" t="s">
        <v>131</v>
      </c>
    </row>
    <row r="139" spans="2:70" s="16" customFormat="1" ht="22.5" customHeight="1">
      <c r="B139" s="17"/>
      <c r="C139" s="87">
        <f t="shared" si="2"/>
        <v>6</v>
      </c>
      <c r="D139" s="87" t="s">
        <v>116</v>
      </c>
      <c r="E139" s="88" t="s">
        <v>553</v>
      </c>
      <c r="F139" s="192" t="s">
        <v>554</v>
      </c>
      <c r="G139" s="192"/>
      <c r="H139" s="192"/>
      <c r="I139" s="192"/>
      <c r="J139" s="89" t="s">
        <v>123</v>
      </c>
      <c r="K139" s="90">
        <v>113.91</v>
      </c>
      <c r="L139" s="193"/>
      <c r="M139" s="194"/>
      <c r="N139" s="195">
        <f t="shared" si="0"/>
        <v>0</v>
      </c>
      <c r="O139" s="195"/>
      <c r="P139" s="195"/>
      <c r="Q139" s="195"/>
      <c r="R139" s="19"/>
      <c r="S139" s="111"/>
      <c r="T139" s="111"/>
      <c r="U139" s="111"/>
      <c r="V139" s="111"/>
      <c r="W139" s="111"/>
      <c r="X139" s="111"/>
      <c r="Y139" s="111"/>
      <c r="Z139" s="111"/>
      <c r="AA139" s="111"/>
      <c r="AB139" s="111"/>
      <c r="AC139" s="111"/>
      <c r="AD139" s="111"/>
      <c r="AE139" s="111"/>
      <c r="AF139" s="111"/>
      <c r="AG139" s="111"/>
      <c r="AH139" s="111"/>
      <c r="AI139" s="111"/>
      <c r="AJ139" s="111"/>
      <c r="AK139" s="111"/>
      <c r="AL139" s="111"/>
      <c r="AM139" s="111"/>
      <c r="AN139" s="111"/>
      <c r="AO139" s="111"/>
      <c r="AP139" s="111"/>
      <c r="AQ139" s="111"/>
      <c r="AR139" s="111"/>
      <c r="AS139" s="111"/>
      <c r="AW139" s="8" t="s">
        <v>120</v>
      </c>
      <c r="AY139" s="8" t="s">
        <v>116</v>
      </c>
      <c r="AZ139" s="8" t="s">
        <v>67</v>
      </c>
      <c r="BD139" s="8" t="s">
        <v>115</v>
      </c>
      <c r="BJ139" s="51" t="e">
        <f>IF(#REF!="základní",N139,0)</f>
        <v>#REF!</v>
      </c>
      <c r="BK139" s="51" t="e">
        <f>IF(#REF!="snížená",N139,0)</f>
        <v>#REF!</v>
      </c>
      <c r="BL139" s="51" t="e">
        <f>IF(#REF!="zákl. přenesená",N139,0)</f>
        <v>#REF!</v>
      </c>
      <c r="BM139" s="51" t="e">
        <f>IF(#REF!="sníž. přenesená",N139,0)</f>
        <v>#REF!</v>
      </c>
      <c r="BN139" s="51" t="e">
        <f>IF(#REF!="nulová",N139,0)</f>
        <v>#REF!</v>
      </c>
      <c r="BO139" s="8" t="s">
        <v>56</v>
      </c>
      <c r="BP139" s="51">
        <f t="shared" si="1"/>
        <v>0</v>
      </c>
      <c r="BQ139" s="8" t="s">
        <v>120</v>
      </c>
      <c r="BR139" s="8" t="s">
        <v>133</v>
      </c>
    </row>
    <row r="140" spans="2:70" s="77" customFormat="1" ht="29.85" customHeight="1">
      <c r="B140" s="76"/>
      <c r="D140" s="86" t="s">
        <v>81</v>
      </c>
      <c r="E140" s="86"/>
      <c r="F140" s="86"/>
      <c r="G140" s="86"/>
      <c r="H140" s="86"/>
      <c r="I140" s="86"/>
      <c r="J140" s="86"/>
      <c r="K140" s="86"/>
      <c r="L140" s="86"/>
      <c r="M140" s="86"/>
      <c r="N140" s="202">
        <f>SUM(N141)</f>
        <v>0</v>
      </c>
      <c r="O140" s="203"/>
      <c r="P140" s="203"/>
      <c r="Q140" s="203"/>
      <c r="R140" s="79"/>
      <c r="S140" s="111"/>
      <c r="T140" s="111"/>
      <c r="U140" s="111"/>
      <c r="V140" s="111"/>
      <c r="W140" s="111"/>
      <c r="X140" s="111"/>
      <c r="Y140" s="111"/>
      <c r="Z140" s="111"/>
      <c r="AA140" s="111"/>
      <c r="AB140" s="111"/>
      <c r="AC140" s="111"/>
      <c r="AD140" s="111"/>
      <c r="AE140" s="111"/>
      <c r="AF140" s="111"/>
      <c r="AG140" s="111"/>
      <c r="AH140" s="111"/>
      <c r="AI140" s="111"/>
      <c r="AJ140" s="111"/>
      <c r="AK140" s="111"/>
      <c r="AL140" s="111"/>
      <c r="AM140" s="111"/>
      <c r="AN140" s="111"/>
      <c r="AO140" s="111"/>
      <c r="AP140" s="111"/>
      <c r="AQ140" s="111"/>
      <c r="AR140" s="111"/>
      <c r="AS140" s="111"/>
      <c r="AW140" s="83" t="s">
        <v>56</v>
      </c>
      <c r="AY140" s="84" t="s">
        <v>53</v>
      </c>
      <c r="AZ140" s="84" t="s">
        <v>56</v>
      </c>
      <c r="BD140" s="83" t="s">
        <v>115</v>
      </c>
      <c r="BP140" s="56">
        <f>BP141</f>
        <v>0</v>
      </c>
    </row>
    <row r="141" spans="2:70" s="16" customFormat="1" ht="38.25" customHeight="1">
      <c r="B141" s="17"/>
      <c r="C141" s="87">
        <f>+C139+1</f>
        <v>7</v>
      </c>
      <c r="D141" s="87" t="s">
        <v>116</v>
      </c>
      <c r="E141" s="88" t="s">
        <v>555</v>
      </c>
      <c r="F141" s="192" t="s">
        <v>556</v>
      </c>
      <c r="G141" s="192"/>
      <c r="H141" s="192"/>
      <c r="I141" s="192"/>
      <c r="J141" s="89" t="s">
        <v>135</v>
      </c>
      <c r="K141" s="90">
        <v>247.2</v>
      </c>
      <c r="L141" s="193"/>
      <c r="M141" s="194"/>
      <c r="N141" s="195">
        <f>ROUND(L141*K141,2)</f>
        <v>0</v>
      </c>
      <c r="O141" s="195"/>
      <c r="P141" s="195"/>
      <c r="Q141" s="195"/>
      <c r="R141" s="19"/>
      <c r="S141" s="111"/>
      <c r="T141" s="111"/>
      <c r="U141" s="111"/>
      <c r="V141" s="111"/>
      <c r="W141" s="111"/>
      <c r="X141" s="111"/>
      <c r="Y141" s="111"/>
      <c r="Z141" s="111"/>
      <c r="AA141" s="111"/>
      <c r="AB141" s="111"/>
      <c r="AC141" s="111"/>
      <c r="AD141" s="111"/>
      <c r="AE141" s="111"/>
      <c r="AF141" s="111"/>
      <c r="AG141" s="111"/>
      <c r="AH141" s="111"/>
      <c r="AI141" s="111"/>
      <c r="AJ141" s="111"/>
      <c r="AK141" s="111"/>
      <c r="AL141" s="111"/>
      <c r="AM141" s="111"/>
      <c r="AN141" s="111"/>
      <c r="AO141" s="111"/>
      <c r="AP141" s="111"/>
      <c r="AQ141" s="111"/>
      <c r="AR141" s="111"/>
      <c r="AS141" s="111"/>
      <c r="AW141" s="8" t="s">
        <v>120</v>
      </c>
      <c r="AY141" s="8" t="s">
        <v>116</v>
      </c>
      <c r="AZ141" s="8" t="s">
        <v>67</v>
      </c>
      <c r="BD141" s="8" t="s">
        <v>115</v>
      </c>
      <c r="BJ141" s="51" t="e">
        <f>IF(#REF!="základní",N141,0)</f>
        <v>#REF!</v>
      </c>
      <c r="BK141" s="51" t="e">
        <f>IF(#REF!="snížená",N141,0)</f>
        <v>#REF!</v>
      </c>
      <c r="BL141" s="51" t="e">
        <f>IF(#REF!="zákl. přenesená",N141,0)</f>
        <v>#REF!</v>
      </c>
      <c r="BM141" s="51" t="e">
        <f>IF(#REF!="sníž. přenesená",N141,0)</f>
        <v>#REF!</v>
      </c>
      <c r="BN141" s="51" t="e">
        <f>IF(#REF!="nulová",N141,0)</f>
        <v>#REF!</v>
      </c>
      <c r="BO141" s="8" t="s">
        <v>56</v>
      </c>
      <c r="BP141" s="51">
        <f>ROUND(L141*K141,2)</f>
        <v>0</v>
      </c>
      <c r="BQ141" s="8" t="s">
        <v>120</v>
      </c>
      <c r="BR141" s="8" t="s">
        <v>136</v>
      </c>
    </row>
    <row r="142" spans="2:70" s="77" customFormat="1" ht="29.85" customHeight="1">
      <c r="B142" s="76"/>
      <c r="D142" s="86" t="s">
        <v>82</v>
      </c>
      <c r="E142" s="86"/>
      <c r="F142" s="86"/>
      <c r="G142" s="86"/>
      <c r="H142" s="86"/>
      <c r="I142" s="86"/>
      <c r="J142" s="86"/>
      <c r="K142" s="86"/>
      <c r="L142" s="86"/>
      <c r="M142" s="86"/>
      <c r="N142" s="202">
        <f>SUM(N143:Q146)</f>
        <v>0</v>
      </c>
      <c r="O142" s="203"/>
      <c r="P142" s="203"/>
      <c r="Q142" s="203"/>
      <c r="R142" s="79"/>
      <c r="S142" s="111"/>
      <c r="T142" s="111"/>
      <c r="U142" s="111"/>
      <c r="V142" s="111"/>
      <c r="W142" s="111"/>
      <c r="X142" s="111"/>
      <c r="Y142" s="111"/>
      <c r="Z142" s="111"/>
      <c r="AA142" s="111"/>
      <c r="AB142" s="111"/>
      <c r="AC142" s="111"/>
      <c r="AD142" s="111"/>
      <c r="AE142" s="111"/>
      <c r="AF142" s="111"/>
      <c r="AG142" s="111"/>
      <c r="AH142" s="111"/>
      <c r="AI142" s="111"/>
      <c r="AJ142" s="111"/>
      <c r="AK142" s="111"/>
      <c r="AL142" s="111"/>
      <c r="AM142" s="111"/>
      <c r="AN142" s="111"/>
      <c r="AO142" s="111"/>
      <c r="AP142" s="111"/>
      <c r="AQ142" s="111"/>
      <c r="AR142" s="111"/>
      <c r="AS142" s="111"/>
      <c r="AW142" s="83" t="s">
        <v>56</v>
      </c>
      <c r="AY142" s="84" t="s">
        <v>53</v>
      </c>
      <c r="AZ142" s="84" t="s">
        <v>56</v>
      </c>
      <c r="BD142" s="83" t="s">
        <v>115</v>
      </c>
      <c r="BP142" s="56">
        <f>SUM(BP143:BP145)</f>
        <v>0</v>
      </c>
    </row>
    <row r="143" spans="2:70" s="16" customFormat="1" ht="25.5" customHeight="1">
      <c r="B143" s="17"/>
      <c r="C143" s="87">
        <f>+C141+1</f>
        <v>8</v>
      </c>
      <c r="D143" s="87" t="s">
        <v>116</v>
      </c>
      <c r="E143" s="88" t="s">
        <v>599</v>
      </c>
      <c r="F143" s="192" t="s">
        <v>137</v>
      </c>
      <c r="G143" s="192"/>
      <c r="H143" s="192"/>
      <c r="I143" s="192"/>
      <c r="J143" s="89" t="s">
        <v>138</v>
      </c>
      <c r="K143" s="90">
        <v>6</v>
      </c>
      <c r="L143" s="193"/>
      <c r="M143" s="194"/>
      <c r="N143" s="195">
        <f>ROUND(L143*K143,2)</f>
        <v>0</v>
      </c>
      <c r="O143" s="195"/>
      <c r="P143" s="195"/>
      <c r="Q143" s="195"/>
      <c r="R143" s="19"/>
      <c r="S143" s="111"/>
      <c r="T143" s="111"/>
      <c r="U143" s="111"/>
      <c r="V143" s="111"/>
      <c r="W143" s="111"/>
      <c r="X143" s="111"/>
      <c r="Y143" s="111"/>
      <c r="Z143" s="111"/>
      <c r="AA143" s="111"/>
      <c r="AB143" s="111"/>
      <c r="AC143" s="111"/>
      <c r="AD143" s="111"/>
      <c r="AE143" s="111"/>
      <c r="AF143" s="111"/>
      <c r="AG143" s="111"/>
      <c r="AH143" s="111"/>
      <c r="AI143" s="111"/>
      <c r="AJ143" s="111"/>
      <c r="AK143" s="111"/>
      <c r="AL143" s="111"/>
      <c r="AM143" s="111"/>
      <c r="AN143" s="111"/>
      <c r="AO143" s="111"/>
      <c r="AP143" s="111"/>
      <c r="AQ143" s="111"/>
      <c r="AR143" s="111"/>
      <c r="AS143" s="111"/>
      <c r="AW143" s="8" t="s">
        <v>120</v>
      </c>
      <c r="AY143" s="8" t="s">
        <v>116</v>
      </c>
      <c r="AZ143" s="8" t="s">
        <v>67</v>
      </c>
      <c r="BD143" s="8" t="s">
        <v>115</v>
      </c>
      <c r="BJ143" s="51" t="e">
        <f>IF(#REF!="základní",N143,0)</f>
        <v>#REF!</v>
      </c>
      <c r="BK143" s="51" t="e">
        <f>IF(#REF!="snížená",N143,0)</f>
        <v>#REF!</v>
      </c>
      <c r="BL143" s="51" t="e">
        <f>IF(#REF!="zákl. přenesená",N143,0)</f>
        <v>#REF!</v>
      </c>
      <c r="BM143" s="51" t="e">
        <f>IF(#REF!="sníž. přenesená",N143,0)</f>
        <v>#REF!</v>
      </c>
      <c r="BN143" s="51" t="e">
        <f>IF(#REF!="nulová",N143,0)</f>
        <v>#REF!</v>
      </c>
      <c r="BO143" s="8" t="s">
        <v>56</v>
      </c>
      <c r="BP143" s="51">
        <f>ROUND(L143*K143,2)</f>
        <v>0</v>
      </c>
      <c r="BQ143" s="8" t="s">
        <v>120</v>
      </c>
      <c r="BR143" s="8" t="s">
        <v>139</v>
      </c>
    </row>
    <row r="144" spans="2:70" s="16" customFormat="1" ht="25.5" customHeight="1">
      <c r="B144" s="17"/>
      <c r="C144" s="87">
        <f>+C143+1</f>
        <v>9</v>
      </c>
      <c r="D144" s="87" t="s">
        <v>116</v>
      </c>
      <c r="E144" s="88" t="s">
        <v>600</v>
      </c>
      <c r="F144" s="192" t="s">
        <v>140</v>
      </c>
      <c r="G144" s="192"/>
      <c r="H144" s="192"/>
      <c r="I144" s="192"/>
      <c r="J144" s="89" t="s">
        <v>138</v>
      </c>
      <c r="K144" s="90">
        <f>6*3+6*3+8</f>
        <v>44</v>
      </c>
      <c r="L144" s="193"/>
      <c r="M144" s="194"/>
      <c r="N144" s="195">
        <f>ROUND(L144*K144,2)</f>
        <v>0</v>
      </c>
      <c r="O144" s="195"/>
      <c r="P144" s="195"/>
      <c r="Q144" s="195"/>
      <c r="R144" s="19"/>
      <c r="S144" s="111"/>
      <c r="T144" s="111"/>
      <c r="U144" s="111"/>
      <c r="V144" s="111"/>
      <c r="W144" s="111"/>
      <c r="X144" s="111"/>
      <c r="Y144" s="111"/>
      <c r="Z144" s="111"/>
      <c r="AA144" s="111"/>
      <c r="AB144" s="111"/>
      <c r="AC144" s="111"/>
      <c r="AD144" s="111"/>
      <c r="AE144" s="111"/>
      <c r="AF144" s="111"/>
      <c r="AG144" s="111"/>
      <c r="AH144" s="111"/>
      <c r="AI144" s="111"/>
      <c r="AJ144" s="111"/>
      <c r="AK144" s="111"/>
      <c r="AL144" s="111"/>
      <c r="AM144" s="111"/>
      <c r="AN144" s="111"/>
      <c r="AO144" s="111"/>
      <c r="AP144" s="111"/>
      <c r="AQ144" s="111"/>
      <c r="AR144" s="111"/>
      <c r="AS144" s="111"/>
      <c r="AW144" s="8" t="s">
        <v>120</v>
      </c>
      <c r="AY144" s="8" t="s">
        <v>116</v>
      </c>
      <c r="AZ144" s="8" t="s">
        <v>67</v>
      </c>
      <c r="BD144" s="8" t="s">
        <v>115</v>
      </c>
      <c r="BJ144" s="51" t="e">
        <f>IF(#REF!="základní",N144,0)</f>
        <v>#REF!</v>
      </c>
      <c r="BK144" s="51" t="e">
        <f>IF(#REF!="snížená",N144,0)</f>
        <v>#REF!</v>
      </c>
      <c r="BL144" s="51" t="e">
        <f>IF(#REF!="zákl. přenesená",N144,0)</f>
        <v>#REF!</v>
      </c>
      <c r="BM144" s="51" t="e">
        <f>IF(#REF!="sníž. přenesená",N144,0)</f>
        <v>#REF!</v>
      </c>
      <c r="BN144" s="51" t="e">
        <f>IF(#REF!="nulová",N144,0)</f>
        <v>#REF!</v>
      </c>
      <c r="BO144" s="8" t="s">
        <v>56</v>
      </c>
      <c r="BP144" s="51">
        <f>ROUND(L144*K144,2)</f>
        <v>0</v>
      </c>
      <c r="BQ144" s="8" t="s">
        <v>120</v>
      </c>
      <c r="BR144" s="8" t="s">
        <v>141</v>
      </c>
    </row>
    <row r="145" spans="2:70" s="16" customFormat="1" ht="38.25" customHeight="1">
      <c r="B145" s="17"/>
      <c r="C145" s="87">
        <f t="shared" ref="C145:C146" si="3">+C144+1</f>
        <v>10</v>
      </c>
      <c r="D145" s="87" t="s">
        <v>116</v>
      </c>
      <c r="E145" s="88" t="s">
        <v>557</v>
      </c>
      <c r="F145" s="192" t="s">
        <v>558</v>
      </c>
      <c r="G145" s="192"/>
      <c r="H145" s="192"/>
      <c r="I145" s="192"/>
      <c r="J145" s="89" t="s">
        <v>142</v>
      </c>
      <c r="K145" s="90">
        <v>1</v>
      </c>
      <c r="L145" s="193"/>
      <c r="M145" s="194"/>
      <c r="N145" s="195">
        <f>ROUND(L145*K145,2)</f>
        <v>0</v>
      </c>
      <c r="O145" s="195"/>
      <c r="P145" s="195"/>
      <c r="Q145" s="195"/>
      <c r="R145" s="19"/>
      <c r="S145" s="111"/>
      <c r="T145" s="111"/>
      <c r="U145" s="111"/>
      <c r="V145" s="111"/>
      <c r="W145" s="111"/>
      <c r="X145" s="111"/>
      <c r="Y145" s="111"/>
      <c r="Z145" s="111"/>
      <c r="AA145" s="111"/>
      <c r="AB145" s="111"/>
      <c r="AC145" s="111"/>
      <c r="AD145" s="111"/>
      <c r="AE145" s="111"/>
      <c r="AF145" s="111"/>
      <c r="AG145" s="111"/>
      <c r="AH145" s="111"/>
      <c r="AI145" s="111"/>
      <c r="AJ145" s="111"/>
      <c r="AK145" s="111"/>
      <c r="AL145" s="111"/>
      <c r="AM145" s="111"/>
      <c r="AN145" s="111"/>
      <c r="AO145" s="111"/>
      <c r="AP145" s="111"/>
      <c r="AQ145" s="111"/>
      <c r="AR145" s="111"/>
      <c r="AS145" s="111"/>
      <c r="AW145" s="8" t="s">
        <v>120</v>
      </c>
      <c r="AY145" s="8" t="s">
        <v>116</v>
      </c>
      <c r="AZ145" s="8" t="s">
        <v>67</v>
      </c>
      <c r="BD145" s="8" t="s">
        <v>115</v>
      </c>
      <c r="BJ145" s="51" t="e">
        <f>IF(#REF!="základní",N145,0)</f>
        <v>#REF!</v>
      </c>
      <c r="BK145" s="51" t="e">
        <f>IF(#REF!="snížená",N145,0)</f>
        <v>#REF!</v>
      </c>
      <c r="BL145" s="51" t="e">
        <f>IF(#REF!="zákl. přenesená",N145,0)</f>
        <v>#REF!</v>
      </c>
      <c r="BM145" s="51" t="e">
        <f>IF(#REF!="sníž. přenesená",N145,0)</f>
        <v>#REF!</v>
      </c>
      <c r="BN145" s="51" t="e">
        <f>IF(#REF!="nulová",N145,0)</f>
        <v>#REF!</v>
      </c>
      <c r="BO145" s="8" t="s">
        <v>56</v>
      </c>
      <c r="BP145" s="51">
        <f>ROUND(L145*K145,2)</f>
        <v>0</v>
      </c>
      <c r="BQ145" s="8" t="s">
        <v>120</v>
      </c>
      <c r="BR145" s="8" t="s">
        <v>143</v>
      </c>
    </row>
    <row r="146" spans="2:70" s="16" customFormat="1" ht="47.25" customHeight="1">
      <c r="B146" s="17"/>
      <c r="C146" s="97">
        <f t="shared" si="3"/>
        <v>11</v>
      </c>
      <c r="D146" s="97" t="s">
        <v>166</v>
      </c>
      <c r="E146" s="98" t="s">
        <v>559</v>
      </c>
      <c r="F146" s="198" t="s">
        <v>560</v>
      </c>
      <c r="G146" s="198"/>
      <c r="H146" s="198"/>
      <c r="I146" s="198"/>
      <c r="J146" s="99" t="s">
        <v>138</v>
      </c>
      <c r="K146" s="100">
        <v>1</v>
      </c>
      <c r="L146" s="193"/>
      <c r="M146" s="194"/>
      <c r="N146" s="199">
        <f t="shared" ref="N146" si="4">ROUND(L146*K146,2)</f>
        <v>0</v>
      </c>
      <c r="O146" s="195"/>
      <c r="P146" s="195"/>
      <c r="Q146" s="195"/>
      <c r="R146" s="19"/>
      <c r="S146" s="111"/>
      <c r="T146" s="111"/>
      <c r="U146" s="111"/>
      <c r="V146" s="111"/>
      <c r="W146" s="111"/>
      <c r="X146" s="111"/>
      <c r="Y146" s="111"/>
      <c r="Z146" s="111"/>
      <c r="AA146" s="111"/>
      <c r="AB146" s="111"/>
      <c r="AC146" s="111"/>
      <c r="AD146" s="111"/>
      <c r="AE146" s="111"/>
      <c r="AF146" s="111"/>
      <c r="AG146" s="111"/>
      <c r="AH146" s="111"/>
      <c r="AI146" s="111"/>
      <c r="AJ146" s="111"/>
      <c r="AK146" s="111"/>
      <c r="AL146" s="111"/>
      <c r="AM146" s="111"/>
      <c r="AN146" s="111"/>
      <c r="AO146" s="111"/>
      <c r="AP146" s="111"/>
      <c r="AQ146" s="111"/>
      <c r="AR146" s="111"/>
      <c r="AS146" s="111"/>
      <c r="AW146" s="8" t="s">
        <v>134</v>
      </c>
      <c r="AY146" s="8" t="s">
        <v>166</v>
      </c>
      <c r="AZ146" s="8" t="s">
        <v>67</v>
      </c>
      <c r="BD146" s="8" t="s">
        <v>115</v>
      </c>
      <c r="BJ146" s="51" t="e">
        <f>IF(#REF!="základní",N146,0)</f>
        <v>#REF!</v>
      </c>
      <c r="BK146" s="51" t="e">
        <f>IF(#REF!="snížená",N146,0)</f>
        <v>#REF!</v>
      </c>
      <c r="BL146" s="51" t="e">
        <f>IF(#REF!="zákl. přenesená",N146,0)</f>
        <v>#REF!</v>
      </c>
      <c r="BM146" s="51" t="e">
        <f>IF(#REF!="sníž. přenesená",N146,0)</f>
        <v>#REF!</v>
      </c>
      <c r="BN146" s="51" t="e">
        <f>IF(#REF!="nulová",N146,0)</f>
        <v>#REF!</v>
      </c>
      <c r="BO146" s="8" t="s">
        <v>56</v>
      </c>
      <c r="BP146" s="51">
        <f>ROUND(L146*K146,2)</f>
        <v>0</v>
      </c>
      <c r="BQ146" s="8" t="s">
        <v>120</v>
      </c>
      <c r="BR146" s="8" t="s">
        <v>174</v>
      </c>
    </row>
    <row r="147" spans="2:70" s="77" customFormat="1" ht="29.85" customHeight="1">
      <c r="B147" s="76"/>
      <c r="D147" s="86" t="s">
        <v>83</v>
      </c>
      <c r="E147" s="86"/>
      <c r="F147" s="86"/>
      <c r="G147" s="86"/>
      <c r="H147" s="86"/>
      <c r="I147" s="86"/>
      <c r="J147" s="86"/>
      <c r="K147" s="86"/>
      <c r="L147" s="86"/>
      <c r="M147" s="86"/>
      <c r="N147" s="202">
        <f>SUM(N148)</f>
        <v>0</v>
      </c>
      <c r="O147" s="203"/>
      <c r="P147" s="203"/>
      <c r="Q147" s="203"/>
      <c r="R147" s="79"/>
      <c r="S147" s="127"/>
      <c r="T147" s="127"/>
      <c r="U147" s="127"/>
      <c r="V147" s="127"/>
      <c r="W147" s="127"/>
      <c r="X147" s="127"/>
      <c r="Y147" s="127"/>
      <c r="Z147" s="127"/>
      <c r="AA147" s="127"/>
      <c r="AB147" s="127"/>
      <c r="AC147" s="127"/>
      <c r="AD147" s="127"/>
      <c r="AE147" s="127"/>
      <c r="AF147" s="127"/>
      <c r="AG147" s="127"/>
      <c r="AH147" s="127"/>
      <c r="AI147" s="127"/>
      <c r="AJ147" s="127"/>
      <c r="AK147" s="127"/>
      <c r="AL147" s="127"/>
      <c r="AM147" s="127"/>
      <c r="AN147" s="127"/>
      <c r="AO147" s="127"/>
      <c r="AP147" s="127"/>
      <c r="AQ147" s="127"/>
      <c r="AR147" s="127"/>
      <c r="AS147" s="127"/>
      <c r="AW147" s="83" t="s">
        <v>56</v>
      </c>
      <c r="AY147" s="84" t="s">
        <v>53</v>
      </c>
      <c r="AZ147" s="84" t="s">
        <v>56</v>
      </c>
      <c r="BD147" s="83" t="s">
        <v>115</v>
      </c>
      <c r="BP147" s="56">
        <f>BP148</f>
        <v>0</v>
      </c>
    </row>
    <row r="148" spans="2:70" s="16" customFormat="1" ht="25.5" customHeight="1">
      <c r="B148" s="17"/>
      <c r="C148" s="87">
        <f>+C146+1</f>
        <v>12</v>
      </c>
      <c r="D148" s="87" t="s">
        <v>116</v>
      </c>
      <c r="E148" s="88" t="s">
        <v>144</v>
      </c>
      <c r="F148" s="192" t="s">
        <v>145</v>
      </c>
      <c r="G148" s="192"/>
      <c r="H148" s="192"/>
      <c r="I148" s="192"/>
      <c r="J148" s="89" t="s">
        <v>123</v>
      </c>
      <c r="K148" s="90">
        <v>22.248000000000001</v>
      </c>
      <c r="L148" s="193"/>
      <c r="M148" s="194"/>
      <c r="N148" s="195">
        <f>ROUND(L148*K148,2)</f>
        <v>0</v>
      </c>
      <c r="O148" s="195"/>
      <c r="P148" s="195"/>
      <c r="Q148" s="195"/>
      <c r="R148" s="19"/>
      <c r="S148" s="111"/>
      <c r="T148" s="111"/>
      <c r="U148" s="111"/>
      <c r="V148" s="111"/>
      <c r="W148" s="111"/>
      <c r="X148" s="111"/>
      <c r="Y148" s="111"/>
      <c r="Z148" s="111"/>
      <c r="AA148" s="111"/>
      <c r="AB148" s="111"/>
      <c r="AC148" s="111"/>
      <c r="AD148" s="111"/>
      <c r="AE148" s="111"/>
      <c r="AF148" s="111"/>
      <c r="AG148" s="111"/>
      <c r="AH148" s="111"/>
      <c r="AI148" s="111"/>
      <c r="AJ148" s="111"/>
      <c r="AK148" s="111"/>
      <c r="AL148" s="111"/>
      <c r="AM148" s="111"/>
      <c r="AN148" s="111"/>
      <c r="AO148" s="111"/>
      <c r="AP148" s="111"/>
      <c r="AQ148" s="111"/>
      <c r="AR148" s="111"/>
      <c r="AS148" s="111"/>
      <c r="AW148" s="8" t="s">
        <v>120</v>
      </c>
      <c r="AY148" s="8" t="s">
        <v>116</v>
      </c>
      <c r="AZ148" s="8" t="s">
        <v>67</v>
      </c>
      <c r="BD148" s="8" t="s">
        <v>115</v>
      </c>
      <c r="BJ148" s="51" t="e">
        <f>IF(#REF!="základní",N148,0)</f>
        <v>#REF!</v>
      </c>
      <c r="BK148" s="51" t="e">
        <f>IF(#REF!="snížená",N148,0)</f>
        <v>#REF!</v>
      </c>
      <c r="BL148" s="51" t="e">
        <f>IF(#REF!="zákl. přenesená",N148,0)</f>
        <v>#REF!</v>
      </c>
      <c r="BM148" s="51" t="e">
        <f>IF(#REF!="sníž. přenesená",N148,0)</f>
        <v>#REF!</v>
      </c>
      <c r="BN148" s="51" t="e">
        <f>IF(#REF!="nulová",N148,0)</f>
        <v>#REF!</v>
      </c>
      <c r="BO148" s="8" t="s">
        <v>56</v>
      </c>
      <c r="BP148" s="51">
        <f>ROUND(L148*K148,2)</f>
        <v>0</v>
      </c>
      <c r="BQ148" s="8" t="s">
        <v>120</v>
      </c>
      <c r="BR148" s="8" t="s">
        <v>146</v>
      </c>
    </row>
    <row r="149" spans="2:70" s="77" customFormat="1" ht="29.85" customHeight="1">
      <c r="B149" s="76"/>
      <c r="D149" s="86" t="s">
        <v>84</v>
      </c>
      <c r="E149" s="86"/>
      <c r="F149" s="86"/>
      <c r="G149" s="86"/>
      <c r="H149" s="86"/>
      <c r="I149" s="86"/>
      <c r="J149" s="86"/>
      <c r="K149" s="86"/>
      <c r="L149" s="86"/>
      <c r="M149" s="86"/>
      <c r="N149" s="202">
        <f>SUM(N150:Q161)</f>
        <v>0</v>
      </c>
      <c r="O149" s="203"/>
      <c r="P149" s="203"/>
      <c r="Q149" s="203"/>
      <c r="R149" s="79"/>
      <c r="S149" s="111"/>
      <c r="T149" s="111"/>
      <c r="U149" s="111"/>
      <c r="V149" s="111"/>
      <c r="W149" s="111"/>
      <c r="X149" s="111"/>
      <c r="Y149" s="111"/>
      <c r="Z149" s="111"/>
      <c r="AA149" s="111"/>
      <c r="AB149" s="111"/>
      <c r="AC149" s="111"/>
      <c r="AD149" s="111"/>
      <c r="AE149" s="111"/>
      <c r="AF149" s="111"/>
      <c r="AG149" s="111"/>
      <c r="AH149" s="111"/>
      <c r="AI149" s="111"/>
      <c r="AJ149" s="111"/>
      <c r="AK149" s="111"/>
      <c r="AL149" s="111"/>
      <c r="AM149" s="111"/>
      <c r="AN149" s="111"/>
      <c r="AO149" s="111"/>
      <c r="AP149" s="111"/>
      <c r="AQ149" s="111"/>
      <c r="AR149" s="111"/>
      <c r="AS149" s="111"/>
      <c r="AW149" s="83" t="s">
        <v>56</v>
      </c>
      <c r="AY149" s="84" t="s">
        <v>53</v>
      </c>
      <c r="AZ149" s="84" t="s">
        <v>56</v>
      </c>
      <c r="BD149" s="83" t="s">
        <v>115</v>
      </c>
      <c r="BP149" s="56">
        <f>SUM(BP150:BP161)</f>
        <v>0</v>
      </c>
    </row>
    <row r="150" spans="2:70" s="16" customFormat="1" ht="25.5" customHeight="1">
      <c r="B150" s="17"/>
      <c r="C150" s="87">
        <f>+C148+1</f>
        <v>13</v>
      </c>
      <c r="D150" s="87" t="s">
        <v>116</v>
      </c>
      <c r="E150" s="88" t="s">
        <v>147</v>
      </c>
      <c r="F150" s="192" t="s">
        <v>148</v>
      </c>
      <c r="G150" s="192"/>
      <c r="H150" s="192"/>
      <c r="I150" s="192"/>
      <c r="J150" s="89" t="s">
        <v>119</v>
      </c>
      <c r="K150" s="90">
        <v>153.21</v>
      </c>
      <c r="L150" s="193"/>
      <c r="M150" s="194"/>
      <c r="N150" s="195">
        <f t="shared" ref="N150:N161" si="5">ROUND(L150*K150,2)</f>
        <v>0</v>
      </c>
      <c r="O150" s="195"/>
      <c r="P150" s="195"/>
      <c r="Q150" s="195"/>
      <c r="R150" s="19"/>
      <c r="S150" s="111"/>
      <c r="T150" s="111"/>
      <c r="U150" s="111"/>
      <c r="V150" s="111"/>
      <c r="W150" s="111"/>
      <c r="X150" s="111"/>
      <c r="Y150" s="111"/>
      <c r="Z150" s="111"/>
      <c r="AA150" s="111"/>
      <c r="AB150" s="111"/>
      <c r="AC150" s="111"/>
      <c r="AD150" s="111"/>
      <c r="AE150" s="111"/>
      <c r="AF150" s="111"/>
      <c r="AG150" s="111"/>
      <c r="AH150" s="111"/>
      <c r="AI150" s="111"/>
      <c r="AJ150" s="111"/>
      <c r="AK150" s="111"/>
      <c r="AL150" s="111"/>
      <c r="AM150" s="111"/>
      <c r="AN150" s="111"/>
      <c r="AO150" s="111"/>
      <c r="AP150" s="111"/>
      <c r="AQ150" s="111"/>
      <c r="AR150" s="111"/>
      <c r="AS150" s="111"/>
      <c r="AW150" s="8" t="s">
        <v>120</v>
      </c>
      <c r="AY150" s="8" t="s">
        <v>116</v>
      </c>
      <c r="AZ150" s="8" t="s">
        <v>67</v>
      </c>
      <c r="BD150" s="8" t="s">
        <v>115</v>
      </c>
      <c r="BJ150" s="51" t="e">
        <f>IF(#REF!="základní",N150,0)</f>
        <v>#REF!</v>
      </c>
      <c r="BK150" s="51" t="e">
        <f>IF(#REF!="snížená",N150,0)</f>
        <v>#REF!</v>
      </c>
      <c r="BL150" s="51" t="e">
        <f>IF(#REF!="zákl. přenesená",N150,0)</f>
        <v>#REF!</v>
      </c>
      <c r="BM150" s="51" t="e">
        <f>IF(#REF!="sníž. přenesená",N150,0)</f>
        <v>#REF!</v>
      </c>
      <c r="BN150" s="51" t="e">
        <f>IF(#REF!="nulová",N150,0)</f>
        <v>#REF!</v>
      </c>
      <c r="BO150" s="8" t="s">
        <v>56</v>
      </c>
      <c r="BP150" s="51">
        <f t="shared" ref="BP150:BP161" si="6">ROUND(L150*K150,2)</f>
        <v>0</v>
      </c>
      <c r="BQ150" s="8" t="s">
        <v>120</v>
      </c>
      <c r="BR150" s="8" t="s">
        <v>149</v>
      </c>
    </row>
    <row r="151" spans="2:70" s="16" customFormat="1" ht="25.5" customHeight="1">
      <c r="B151" s="17"/>
      <c r="C151" s="87">
        <f>+C150+1</f>
        <v>14</v>
      </c>
      <c r="D151" s="87" t="s">
        <v>116</v>
      </c>
      <c r="E151" s="88" t="s">
        <v>150</v>
      </c>
      <c r="F151" s="192" t="s">
        <v>151</v>
      </c>
      <c r="G151" s="192"/>
      <c r="H151" s="192"/>
      <c r="I151" s="192"/>
      <c r="J151" s="89" t="s">
        <v>119</v>
      </c>
      <c r="K151" s="90">
        <v>153.21</v>
      </c>
      <c r="L151" s="193"/>
      <c r="M151" s="194"/>
      <c r="N151" s="195">
        <f t="shared" si="5"/>
        <v>0</v>
      </c>
      <c r="O151" s="195"/>
      <c r="P151" s="195"/>
      <c r="Q151" s="195"/>
      <c r="R151" s="19"/>
      <c r="S151" s="111"/>
      <c r="T151" s="111"/>
      <c r="U151" s="111"/>
      <c r="V151" s="111"/>
      <c r="W151" s="111"/>
      <c r="X151" s="111"/>
      <c r="Y151" s="111"/>
      <c r="Z151" s="111"/>
      <c r="AA151" s="111"/>
      <c r="AB151" s="111"/>
      <c r="AC151" s="111"/>
      <c r="AD151" s="111"/>
      <c r="AE151" s="111"/>
      <c r="AF151" s="111"/>
      <c r="AG151" s="111"/>
      <c r="AH151" s="111"/>
      <c r="AI151" s="111"/>
      <c r="AJ151" s="111"/>
      <c r="AK151" s="111"/>
      <c r="AL151" s="111"/>
      <c r="AM151" s="111"/>
      <c r="AN151" s="111"/>
      <c r="AO151" s="111"/>
      <c r="AP151" s="111"/>
      <c r="AQ151" s="111"/>
      <c r="AR151" s="111"/>
      <c r="AS151" s="111"/>
      <c r="AW151" s="8" t="s">
        <v>120</v>
      </c>
      <c r="AY151" s="8" t="s">
        <v>116</v>
      </c>
      <c r="AZ151" s="8" t="s">
        <v>67</v>
      </c>
      <c r="BD151" s="8" t="s">
        <v>115</v>
      </c>
      <c r="BJ151" s="51" t="e">
        <f>IF(#REF!="základní",N151,0)</f>
        <v>#REF!</v>
      </c>
      <c r="BK151" s="51" t="e">
        <f>IF(#REF!="snížená",N151,0)</f>
        <v>#REF!</v>
      </c>
      <c r="BL151" s="51" t="e">
        <f>IF(#REF!="zákl. přenesená",N151,0)</f>
        <v>#REF!</v>
      </c>
      <c r="BM151" s="51" t="e">
        <f>IF(#REF!="sníž. přenesená",N151,0)</f>
        <v>#REF!</v>
      </c>
      <c r="BN151" s="51" t="e">
        <f>IF(#REF!="nulová",N151,0)</f>
        <v>#REF!</v>
      </c>
      <c r="BO151" s="8" t="s">
        <v>56</v>
      </c>
      <c r="BP151" s="51">
        <f t="shared" si="6"/>
        <v>0</v>
      </c>
      <c r="BQ151" s="8" t="s">
        <v>120</v>
      </c>
      <c r="BR151" s="8" t="s">
        <v>152</v>
      </c>
    </row>
    <row r="152" spans="2:70" s="16" customFormat="1" ht="16.5" customHeight="1">
      <c r="B152" s="17"/>
      <c r="C152" s="87">
        <f t="shared" ref="C152:C161" si="7">+C151+1</f>
        <v>15</v>
      </c>
      <c r="D152" s="87" t="s">
        <v>116</v>
      </c>
      <c r="E152" s="88" t="s">
        <v>153</v>
      </c>
      <c r="F152" s="192" t="s">
        <v>154</v>
      </c>
      <c r="G152" s="192"/>
      <c r="H152" s="192"/>
      <c r="I152" s="192"/>
      <c r="J152" s="89" t="s">
        <v>119</v>
      </c>
      <c r="K152" s="90">
        <v>45.274999999999999</v>
      </c>
      <c r="L152" s="193"/>
      <c r="M152" s="194"/>
      <c r="N152" s="195">
        <f t="shared" si="5"/>
        <v>0</v>
      </c>
      <c r="O152" s="195"/>
      <c r="P152" s="195"/>
      <c r="Q152" s="195"/>
      <c r="R152" s="19"/>
      <c r="S152" s="111"/>
      <c r="T152" s="111"/>
      <c r="U152" s="111"/>
      <c r="V152" s="111"/>
      <c r="W152" s="111"/>
      <c r="X152" s="111"/>
      <c r="Y152" s="111"/>
      <c r="Z152" s="111"/>
      <c r="AA152" s="111"/>
      <c r="AB152" s="111"/>
      <c r="AC152" s="111"/>
      <c r="AD152" s="111"/>
      <c r="AE152" s="111"/>
      <c r="AF152" s="111"/>
      <c r="AG152" s="111"/>
      <c r="AH152" s="111"/>
      <c r="AI152" s="111"/>
      <c r="AJ152" s="111"/>
      <c r="AK152" s="111"/>
      <c r="AL152" s="111"/>
      <c r="AM152" s="111"/>
      <c r="AN152" s="111"/>
      <c r="AO152" s="111"/>
      <c r="AP152" s="111"/>
      <c r="AQ152" s="111"/>
      <c r="AR152" s="111"/>
      <c r="AS152" s="111"/>
      <c r="AW152" s="8" t="s">
        <v>120</v>
      </c>
      <c r="AY152" s="8" t="s">
        <v>116</v>
      </c>
      <c r="AZ152" s="8" t="s">
        <v>67</v>
      </c>
      <c r="BD152" s="8" t="s">
        <v>115</v>
      </c>
      <c r="BJ152" s="51" t="e">
        <f>IF(#REF!="základní",N152,0)</f>
        <v>#REF!</v>
      </c>
      <c r="BK152" s="51" t="e">
        <f>IF(#REF!="snížená",N152,0)</f>
        <v>#REF!</v>
      </c>
      <c r="BL152" s="51" t="e">
        <f>IF(#REF!="zákl. přenesená",N152,0)</f>
        <v>#REF!</v>
      </c>
      <c r="BM152" s="51" t="e">
        <f>IF(#REF!="sníž. přenesená",N152,0)</f>
        <v>#REF!</v>
      </c>
      <c r="BN152" s="51" t="e">
        <f>IF(#REF!="nulová",N152,0)</f>
        <v>#REF!</v>
      </c>
      <c r="BO152" s="8" t="s">
        <v>56</v>
      </c>
      <c r="BP152" s="51">
        <f t="shared" si="6"/>
        <v>0</v>
      </c>
      <c r="BQ152" s="8" t="s">
        <v>120</v>
      </c>
      <c r="BR152" s="8" t="s">
        <v>155</v>
      </c>
    </row>
    <row r="153" spans="2:70" s="16" customFormat="1" ht="25.5" customHeight="1">
      <c r="B153" s="17"/>
      <c r="C153" s="87">
        <f t="shared" si="7"/>
        <v>16</v>
      </c>
      <c r="D153" s="87" t="s">
        <v>116</v>
      </c>
      <c r="E153" s="88" t="s">
        <v>561</v>
      </c>
      <c r="F153" s="192" t="s">
        <v>562</v>
      </c>
      <c r="G153" s="192"/>
      <c r="H153" s="192"/>
      <c r="I153" s="192"/>
      <c r="J153" s="89" t="s">
        <v>119</v>
      </c>
      <c r="K153" s="90">
        <v>45.274999999999999</v>
      </c>
      <c r="L153" s="193"/>
      <c r="M153" s="194"/>
      <c r="N153" s="195">
        <f t="shared" si="5"/>
        <v>0</v>
      </c>
      <c r="O153" s="195"/>
      <c r="P153" s="195"/>
      <c r="Q153" s="195"/>
      <c r="R153" s="19"/>
      <c r="S153" s="111"/>
      <c r="T153" s="111"/>
      <c r="U153" s="111"/>
      <c r="V153" s="111"/>
      <c r="W153" s="111"/>
      <c r="X153" s="111"/>
      <c r="Y153" s="111"/>
      <c r="Z153" s="111"/>
      <c r="AA153" s="111"/>
      <c r="AB153" s="111"/>
      <c r="AC153" s="111"/>
      <c r="AD153" s="111"/>
      <c r="AE153" s="111"/>
      <c r="AF153" s="111"/>
      <c r="AG153" s="111"/>
      <c r="AH153" s="111"/>
      <c r="AI153" s="111"/>
      <c r="AJ153" s="111"/>
      <c r="AK153" s="111"/>
      <c r="AL153" s="111"/>
      <c r="AM153" s="111"/>
      <c r="AN153" s="111"/>
      <c r="AO153" s="111"/>
      <c r="AP153" s="111"/>
      <c r="AQ153" s="111"/>
      <c r="AR153" s="111"/>
      <c r="AS153" s="111"/>
      <c r="AW153" s="8" t="s">
        <v>120</v>
      </c>
      <c r="AY153" s="8" t="s">
        <v>116</v>
      </c>
      <c r="AZ153" s="8" t="s">
        <v>67</v>
      </c>
      <c r="BD153" s="8" t="s">
        <v>115</v>
      </c>
      <c r="BJ153" s="51" t="e">
        <f>IF(#REF!="základní",N153,0)</f>
        <v>#REF!</v>
      </c>
      <c r="BK153" s="51" t="e">
        <f>IF(#REF!="snížená",N153,0)</f>
        <v>#REF!</v>
      </c>
      <c r="BL153" s="51" t="e">
        <f>IF(#REF!="zákl. přenesená",N153,0)</f>
        <v>#REF!</v>
      </c>
      <c r="BM153" s="51" t="e">
        <f>IF(#REF!="sníž. přenesená",N153,0)</f>
        <v>#REF!</v>
      </c>
      <c r="BN153" s="51" t="e">
        <f>IF(#REF!="nulová",N153,0)</f>
        <v>#REF!</v>
      </c>
      <c r="BO153" s="8" t="s">
        <v>56</v>
      </c>
      <c r="BP153" s="51">
        <f t="shared" si="6"/>
        <v>0</v>
      </c>
      <c r="BQ153" s="8" t="s">
        <v>120</v>
      </c>
      <c r="BR153" s="8" t="s">
        <v>157</v>
      </c>
    </row>
    <row r="154" spans="2:70" s="16" customFormat="1" ht="38.25" customHeight="1">
      <c r="B154" s="17"/>
      <c r="C154" s="87">
        <f t="shared" si="7"/>
        <v>17</v>
      </c>
      <c r="D154" s="87" t="s">
        <v>116</v>
      </c>
      <c r="E154" s="88" t="s">
        <v>158</v>
      </c>
      <c r="F154" s="192" t="s">
        <v>159</v>
      </c>
      <c r="G154" s="192"/>
      <c r="H154" s="192"/>
      <c r="I154" s="192"/>
      <c r="J154" s="89" t="s">
        <v>119</v>
      </c>
      <c r="K154" s="90">
        <v>45.274999999999999</v>
      </c>
      <c r="L154" s="193"/>
      <c r="M154" s="194"/>
      <c r="N154" s="195">
        <f t="shared" si="5"/>
        <v>0</v>
      </c>
      <c r="O154" s="195"/>
      <c r="P154" s="195"/>
      <c r="Q154" s="195"/>
      <c r="R154" s="19"/>
      <c r="S154" s="111"/>
      <c r="T154" s="111"/>
      <c r="U154" s="111"/>
      <c r="V154" s="111"/>
      <c r="W154" s="111"/>
      <c r="X154" s="111"/>
      <c r="Y154" s="111"/>
      <c r="Z154" s="111"/>
      <c r="AA154" s="111"/>
      <c r="AB154" s="111"/>
      <c r="AC154" s="111"/>
      <c r="AD154" s="111"/>
      <c r="AE154" s="111"/>
      <c r="AF154" s="111"/>
      <c r="AG154" s="111"/>
      <c r="AH154" s="111"/>
      <c r="AI154" s="111"/>
      <c r="AJ154" s="111"/>
      <c r="AK154" s="111"/>
      <c r="AL154" s="111"/>
      <c r="AM154" s="111"/>
      <c r="AN154" s="111"/>
      <c r="AO154" s="111"/>
      <c r="AP154" s="111"/>
      <c r="AQ154" s="111"/>
      <c r="AR154" s="111"/>
      <c r="AS154" s="111"/>
      <c r="AW154" s="8" t="s">
        <v>120</v>
      </c>
      <c r="AY154" s="8" t="s">
        <v>116</v>
      </c>
      <c r="AZ154" s="8" t="s">
        <v>67</v>
      </c>
      <c r="BD154" s="8" t="s">
        <v>115</v>
      </c>
      <c r="BJ154" s="51" t="e">
        <f>IF(#REF!="základní",N154,0)</f>
        <v>#REF!</v>
      </c>
      <c r="BK154" s="51" t="e">
        <f>IF(#REF!="snížená",N154,0)</f>
        <v>#REF!</v>
      </c>
      <c r="BL154" s="51" t="e">
        <f>IF(#REF!="zákl. přenesená",N154,0)</f>
        <v>#REF!</v>
      </c>
      <c r="BM154" s="51" t="e">
        <f>IF(#REF!="sníž. přenesená",N154,0)</f>
        <v>#REF!</v>
      </c>
      <c r="BN154" s="51" t="e">
        <f>IF(#REF!="nulová",N154,0)</f>
        <v>#REF!</v>
      </c>
      <c r="BO154" s="8" t="s">
        <v>56</v>
      </c>
      <c r="BP154" s="51">
        <f t="shared" si="6"/>
        <v>0</v>
      </c>
      <c r="BQ154" s="8" t="s">
        <v>120</v>
      </c>
      <c r="BR154" s="8" t="s">
        <v>160</v>
      </c>
    </row>
    <row r="155" spans="2:70" s="16" customFormat="1" ht="25.5" customHeight="1">
      <c r="B155" s="17"/>
      <c r="C155" s="87">
        <f t="shared" si="7"/>
        <v>18</v>
      </c>
      <c r="D155" s="87" t="s">
        <v>116</v>
      </c>
      <c r="E155" s="88" t="s">
        <v>147</v>
      </c>
      <c r="F155" s="192" t="s">
        <v>148</v>
      </c>
      <c r="G155" s="192"/>
      <c r="H155" s="192"/>
      <c r="I155" s="192"/>
      <c r="J155" s="89" t="s">
        <v>119</v>
      </c>
      <c r="K155" s="90">
        <v>12.5</v>
      </c>
      <c r="L155" s="193"/>
      <c r="M155" s="194"/>
      <c r="N155" s="195">
        <f t="shared" ref="N155:N159" si="8">ROUND(L155*K155,2)</f>
        <v>0</v>
      </c>
      <c r="O155" s="195"/>
      <c r="P155" s="195"/>
      <c r="Q155" s="195"/>
      <c r="R155" s="19"/>
      <c r="S155" s="111"/>
      <c r="T155" s="111"/>
      <c r="U155" s="111"/>
      <c r="V155" s="111"/>
      <c r="W155" s="111"/>
      <c r="X155" s="111"/>
      <c r="Y155" s="111"/>
      <c r="Z155" s="111"/>
      <c r="AA155" s="111"/>
      <c r="AB155" s="111"/>
      <c r="AC155" s="111"/>
      <c r="AD155" s="111"/>
      <c r="AE155" s="111"/>
      <c r="AF155" s="111"/>
      <c r="AG155" s="111"/>
      <c r="AH155" s="111"/>
      <c r="AI155" s="111"/>
      <c r="AJ155" s="111"/>
      <c r="AK155" s="111"/>
      <c r="AL155" s="111"/>
      <c r="AM155" s="111"/>
      <c r="AN155" s="111"/>
      <c r="AO155" s="111"/>
      <c r="AP155" s="111"/>
      <c r="AQ155" s="111"/>
      <c r="AR155" s="111"/>
      <c r="AS155" s="111"/>
      <c r="AW155" s="8" t="s">
        <v>120</v>
      </c>
      <c r="AY155" s="8" t="s">
        <v>116</v>
      </c>
      <c r="AZ155" s="8" t="s">
        <v>67</v>
      </c>
      <c r="BD155" s="8" t="s">
        <v>115</v>
      </c>
      <c r="BJ155" s="51" t="e">
        <f>IF(#REF!="základní",N155,0)</f>
        <v>#REF!</v>
      </c>
      <c r="BK155" s="51" t="e">
        <f>IF(#REF!="snížená",N155,0)</f>
        <v>#REF!</v>
      </c>
      <c r="BL155" s="51" t="e">
        <f>IF(#REF!="zákl. přenesená",N155,0)</f>
        <v>#REF!</v>
      </c>
      <c r="BM155" s="51" t="e">
        <f>IF(#REF!="sníž. přenesená",N155,0)</f>
        <v>#REF!</v>
      </c>
      <c r="BN155" s="51" t="e">
        <f>IF(#REF!="nulová",N155,0)</f>
        <v>#REF!</v>
      </c>
      <c r="BO155" s="8" t="s">
        <v>56</v>
      </c>
      <c r="BP155" s="51">
        <f t="shared" si="6"/>
        <v>0</v>
      </c>
      <c r="BQ155" s="8" t="s">
        <v>120</v>
      </c>
      <c r="BR155" s="8" t="s">
        <v>149</v>
      </c>
    </row>
    <row r="156" spans="2:70" s="16" customFormat="1" ht="25.5" customHeight="1">
      <c r="B156" s="17"/>
      <c r="C156" s="87">
        <f t="shared" si="7"/>
        <v>19</v>
      </c>
      <c r="D156" s="87" t="s">
        <v>116</v>
      </c>
      <c r="E156" s="88" t="s">
        <v>150</v>
      </c>
      <c r="F156" s="192" t="s">
        <v>151</v>
      </c>
      <c r="G156" s="192"/>
      <c r="H156" s="192"/>
      <c r="I156" s="192"/>
      <c r="J156" s="89" t="s">
        <v>119</v>
      </c>
      <c r="K156" s="90">
        <v>12.5</v>
      </c>
      <c r="L156" s="193"/>
      <c r="M156" s="194"/>
      <c r="N156" s="195">
        <f t="shared" si="8"/>
        <v>0</v>
      </c>
      <c r="O156" s="195"/>
      <c r="P156" s="195"/>
      <c r="Q156" s="195"/>
      <c r="R156" s="19"/>
      <c r="S156" s="111"/>
      <c r="T156" s="111"/>
      <c r="U156" s="111"/>
      <c r="V156" s="111"/>
      <c r="W156" s="111"/>
      <c r="X156" s="111"/>
      <c r="Y156" s="111"/>
      <c r="Z156" s="111"/>
      <c r="AA156" s="111"/>
      <c r="AB156" s="111"/>
      <c r="AC156" s="111"/>
      <c r="AD156" s="111"/>
      <c r="AE156" s="111"/>
      <c r="AF156" s="111"/>
      <c r="AG156" s="111"/>
      <c r="AH156" s="111"/>
      <c r="AI156" s="111"/>
      <c r="AJ156" s="111"/>
      <c r="AK156" s="111"/>
      <c r="AL156" s="111"/>
      <c r="AM156" s="111"/>
      <c r="AN156" s="111"/>
      <c r="AO156" s="111"/>
      <c r="AP156" s="111"/>
      <c r="AQ156" s="111"/>
      <c r="AR156" s="111"/>
      <c r="AS156" s="111"/>
      <c r="AW156" s="8" t="s">
        <v>120</v>
      </c>
      <c r="AY156" s="8" t="s">
        <v>116</v>
      </c>
      <c r="AZ156" s="8" t="s">
        <v>67</v>
      </c>
      <c r="BD156" s="8" t="s">
        <v>115</v>
      </c>
      <c r="BJ156" s="51" t="e">
        <f>IF(#REF!="základní",N156,0)</f>
        <v>#REF!</v>
      </c>
      <c r="BK156" s="51" t="e">
        <f>IF(#REF!="snížená",N156,0)</f>
        <v>#REF!</v>
      </c>
      <c r="BL156" s="51" t="e">
        <f>IF(#REF!="zákl. přenesená",N156,0)</f>
        <v>#REF!</v>
      </c>
      <c r="BM156" s="51" t="e">
        <f>IF(#REF!="sníž. přenesená",N156,0)</f>
        <v>#REF!</v>
      </c>
      <c r="BN156" s="51" t="e">
        <f>IF(#REF!="nulová",N156,0)</f>
        <v>#REF!</v>
      </c>
      <c r="BO156" s="8" t="s">
        <v>56</v>
      </c>
      <c r="BP156" s="51">
        <f t="shared" si="6"/>
        <v>0</v>
      </c>
      <c r="BQ156" s="8" t="s">
        <v>120</v>
      </c>
      <c r="BR156" s="8" t="s">
        <v>152</v>
      </c>
    </row>
    <row r="157" spans="2:70" s="16" customFormat="1" ht="16.5" customHeight="1">
      <c r="B157" s="17"/>
      <c r="C157" s="87">
        <f t="shared" si="7"/>
        <v>20</v>
      </c>
      <c r="D157" s="87" t="s">
        <v>116</v>
      </c>
      <c r="E157" s="88" t="s">
        <v>153</v>
      </c>
      <c r="F157" s="192" t="s">
        <v>154</v>
      </c>
      <c r="G157" s="192"/>
      <c r="H157" s="192"/>
      <c r="I157" s="192"/>
      <c r="J157" s="89" t="s">
        <v>119</v>
      </c>
      <c r="K157" s="90">
        <v>12.5</v>
      </c>
      <c r="L157" s="193"/>
      <c r="M157" s="194"/>
      <c r="N157" s="195">
        <f t="shared" si="8"/>
        <v>0</v>
      </c>
      <c r="O157" s="195"/>
      <c r="P157" s="195"/>
      <c r="Q157" s="195"/>
      <c r="R157" s="19"/>
      <c r="S157" s="111"/>
      <c r="T157" s="111"/>
      <c r="U157" s="111"/>
      <c r="V157" s="111"/>
      <c r="W157" s="111"/>
      <c r="X157" s="111"/>
      <c r="Y157" s="111"/>
      <c r="Z157" s="111"/>
      <c r="AA157" s="111"/>
      <c r="AB157" s="111"/>
      <c r="AC157" s="111"/>
      <c r="AD157" s="111"/>
      <c r="AE157" s="111"/>
      <c r="AF157" s="111"/>
      <c r="AG157" s="111"/>
      <c r="AH157" s="111"/>
      <c r="AI157" s="111"/>
      <c r="AJ157" s="111"/>
      <c r="AK157" s="111"/>
      <c r="AL157" s="111"/>
      <c r="AM157" s="111"/>
      <c r="AN157" s="111"/>
      <c r="AO157" s="111"/>
      <c r="AP157" s="111"/>
      <c r="AQ157" s="111"/>
      <c r="AR157" s="111"/>
      <c r="AS157" s="111"/>
      <c r="AW157" s="8" t="s">
        <v>120</v>
      </c>
      <c r="AY157" s="8" t="s">
        <v>116</v>
      </c>
      <c r="AZ157" s="8" t="s">
        <v>67</v>
      </c>
      <c r="BD157" s="8" t="s">
        <v>115</v>
      </c>
      <c r="BJ157" s="51" t="e">
        <f>IF(#REF!="základní",N157,0)</f>
        <v>#REF!</v>
      </c>
      <c r="BK157" s="51" t="e">
        <f>IF(#REF!="snížená",N157,0)</f>
        <v>#REF!</v>
      </c>
      <c r="BL157" s="51" t="e">
        <f>IF(#REF!="zákl. přenesená",N157,0)</f>
        <v>#REF!</v>
      </c>
      <c r="BM157" s="51" t="e">
        <f>IF(#REF!="sníž. přenesená",N157,0)</f>
        <v>#REF!</v>
      </c>
      <c r="BN157" s="51" t="e">
        <f>IF(#REF!="nulová",N157,0)</f>
        <v>#REF!</v>
      </c>
      <c r="BO157" s="8" t="s">
        <v>56</v>
      </c>
      <c r="BP157" s="51">
        <f t="shared" si="6"/>
        <v>0</v>
      </c>
      <c r="BQ157" s="8" t="s">
        <v>120</v>
      </c>
      <c r="BR157" s="8" t="s">
        <v>155</v>
      </c>
    </row>
    <row r="158" spans="2:70" s="16" customFormat="1" ht="25.5" customHeight="1">
      <c r="B158" s="17"/>
      <c r="C158" s="87">
        <f t="shared" si="7"/>
        <v>21</v>
      </c>
      <c r="D158" s="87" t="s">
        <v>116</v>
      </c>
      <c r="E158" s="88" t="s">
        <v>561</v>
      </c>
      <c r="F158" s="192" t="s">
        <v>562</v>
      </c>
      <c r="G158" s="192"/>
      <c r="H158" s="192"/>
      <c r="I158" s="192"/>
      <c r="J158" s="89" t="s">
        <v>119</v>
      </c>
      <c r="K158" s="90">
        <v>12.5</v>
      </c>
      <c r="L158" s="193"/>
      <c r="M158" s="194"/>
      <c r="N158" s="195">
        <f t="shared" si="8"/>
        <v>0</v>
      </c>
      <c r="O158" s="195"/>
      <c r="P158" s="195"/>
      <c r="Q158" s="195"/>
      <c r="R158" s="19"/>
      <c r="S158" s="111"/>
      <c r="T158" s="111"/>
      <c r="U158" s="111"/>
      <c r="V158" s="111"/>
      <c r="W158" s="111"/>
      <c r="X158" s="111"/>
      <c r="Y158" s="111"/>
      <c r="Z158" s="111"/>
      <c r="AA158" s="111"/>
      <c r="AB158" s="111"/>
      <c r="AC158" s="111"/>
      <c r="AD158" s="111"/>
      <c r="AE158" s="111"/>
      <c r="AF158" s="111"/>
      <c r="AG158" s="111"/>
      <c r="AH158" s="111"/>
      <c r="AI158" s="111"/>
      <c r="AJ158" s="111"/>
      <c r="AK158" s="111"/>
      <c r="AL158" s="111"/>
      <c r="AM158" s="111"/>
      <c r="AN158" s="111"/>
      <c r="AO158" s="111"/>
      <c r="AP158" s="111"/>
      <c r="AQ158" s="111"/>
      <c r="AR158" s="111"/>
      <c r="AS158" s="111"/>
      <c r="AW158" s="8" t="s">
        <v>120</v>
      </c>
      <c r="AY158" s="8" t="s">
        <v>116</v>
      </c>
      <c r="AZ158" s="8" t="s">
        <v>67</v>
      </c>
      <c r="BD158" s="8" t="s">
        <v>115</v>
      </c>
      <c r="BJ158" s="51" t="e">
        <f>IF(#REF!="základní",N158,0)</f>
        <v>#REF!</v>
      </c>
      <c r="BK158" s="51" t="e">
        <f>IF(#REF!="snížená",N158,0)</f>
        <v>#REF!</v>
      </c>
      <c r="BL158" s="51" t="e">
        <f>IF(#REF!="zákl. přenesená",N158,0)</f>
        <v>#REF!</v>
      </c>
      <c r="BM158" s="51" t="e">
        <f>IF(#REF!="sníž. přenesená",N158,0)</f>
        <v>#REF!</v>
      </c>
      <c r="BN158" s="51" t="e">
        <f>IF(#REF!="nulová",N158,0)</f>
        <v>#REF!</v>
      </c>
      <c r="BO158" s="8" t="s">
        <v>56</v>
      </c>
      <c r="BP158" s="51">
        <f t="shared" si="6"/>
        <v>0</v>
      </c>
      <c r="BQ158" s="8" t="s">
        <v>120</v>
      </c>
      <c r="BR158" s="8" t="s">
        <v>157</v>
      </c>
    </row>
    <row r="159" spans="2:70" s="16" customFormat="1" ht="38.25" customHeight="1">
      <c r="B159" s="17"/>
      <c r="C159" s="87">
        <f t="shared" si="7"/>
        <v>22</v>
      </c>
      <c r="D159" s="87" t="s">
        <v>116</v>
      </c>
      <c r="E159" s="88" t="s">
        <v>158</v>
      </c>
      <c r="F159" s="192" t="s">
        <v>159</v>
      </c>
      <c r="G159" s="192"/>
      <c r="H159" s="192"/>
      <c r="I159" s="192"/>
      <c r="J159" s="89" t="s">
        <v>119</v>
      </c>
      <c r="K159" s="90">
        <v>12.5</v>
      </c>
      <c r="L159" s="193"/>
      <c r="M159" s="194"/>
      <c r="N159" s="195">
        <f t="shared" si="8"/>
        <v>0</v>
      </c>
      <c r="O159" s="195"/>
      <c r="P159" s="195"/>
      <c r="Q159" s="195"/>
      <c r="R159" s="19"/>
      <c r="S159" s="111"/>
      <c r="T159" s="111"/>
      <c r="U159" s="111"/>
      <c r="V159" s="111"/>
      <c r="W159" s="111"/>
      <c r="X159" s="111"/>
      <c r="Y159" s="111"/>
      <c r="Z159" s="111"/>
      <c r="AA159" s="111"/>
      <c r="AB159" s="111"/>
      <c r="AC159" s="111"/>
      <c r="AD159" s="111"/>
      <c r="AE159" s="111"/>
      <c r="AF159" s="111"/>
      <c r="AG159" s="111"/>
      <c r="AH159" s="111"/>
      <c r="AI159" s="111"/>
      <c r="AJ159" s="111"/>
      <c r="AK159" s="111"/>
      <c r="AL159" s="111"/>
      <c r="AM159" s="111"/>
      <c r="AN159" s="111"/>
      <c r="AO159" s="111"/>
      <c r="AP159" s="111"/>
      <c r="AQ159" s="111"/>
      <c r="AR159" s="111"/>
      <c r="AS159" s="111"/>
      <c r="AW159" s="8" t="s">
        <v>120</v>
      </c>
      <c r="AY159" s="8" t="s">
        <v>116</v>
      </c>
      <c r="AZ159" s="8" t="s">
        <v>67</v>
      </c>
      <c r="BD159" s="8" t="s">
        <v>115</v>
      </c>
      <c r="BJ159" s="51" t="e">
        <f>IF(#REF!="základní",N159,0)</f>
        <v>#REF!</v>
      </c>
      <c r="BK159" s="51" t="e">
        <f>IF(#REF!="snížená",N159,0)</f>
        <v>#REF!</v>
      </c>
      <c r="BL159" s="51" t="e">
        <f>IF(#REF!="zákl. přenesená",N159,0)</f>
        <v>#REF!</v>
      </c>
      <c r="BM159" s="51" t="e">
        <f>IF(#REF!="sníž. přenesená",N159,0)</f>
        <v>#REF!</v>
      </c>
      <c r="BN159" s="51" t="e">
        <f>IF(#REF!="nulová",N159,0)</f>
        <v>#REF!</v>
      </c>
      <c r="BO159" s="8" t="s">
        <v>56</v>
      </c>
      <c r="BP159" s="51">
        <f t="shared" si="6"/>
        <v>0</v>
      </c>
      <c r="BQ159" s="8" t="s">
        <v>120</v>
      </c>
      <c r="BR159" s="8" t="s">
        <v>160</v>
      </c>
    </row>
    <row r="160" spans="2:70" s="16" customFormat="1" ht="38.25" customHeight="1">
      <c r="B160" s="17"/>
      <c r="C160" s="87">
        <f t="shared" si="7"/>
        <v>23</v>
      </c>
      <c r="D160" s="87"/>
      <c r="E160" s="88" t="s">
        <v>563</v>
      </c>
      <c r="F160" s="192" t="s">
        <v>564</v>
      </c>
      <c r="G160" s="192"/>
      <c r="H160" s="192"/>
      <c r="I160" s="192"/>
      <c r="J160" s="89" t="s">
        <v>135</v>
      </c>
      <c r="K160" s="90">
        <v>5</v>
      </c>
      <c r="L160" s="193"/>
      <c r="M160" s="194"/>
      <c r="N160" s="195">
        <f t="shared" si="5"/>
        <v>0</v>
      </c>
      <c r="O160" s="195"/>
      <c r="P160" s="195"/>
      <c r="Q160" s="195"/>
      <c r="R160" s="19"/>
      <c r="S160" s="111"/>
      <c r="T160" s="111"/>
      <c r="U160" s="111"/>
      <c r="V160" s="111"/>
      <c r="W160" s="111"/>
      <c r="X160" s="111"/>
      <c r="Y160" s="111"/>
      <c r="Z160" s="111"/>
      <c r="AA160" s="111"/>
      <c r="AB160" s="111"/>
      <c r="AC160" s="111"/>
      <c r="AD160" s="111"/>
      <c r="AE160" s="111"/>
      <c r="AF160" s="111"/>
      <c r="AG160" s="111"/>
      <c r="AH160" s="111"/>
      <c r="AI160" s="111"/>
      <c r="AJ160" s="111"/>
      <c r="AK160" s="111"/>
      <c r="AL160" s="111"/>
      <c r="AM160" s="111"/>
      <c r="AN160" s="111"/>
      <c r="AO160" s="111"/>
      <c r="AP160" s="111"/>
      <c r="AQ160" s="111"/>
      <c r="AR160" s="111"/>
      <c r="AS160" s="111"/>
      <c r="AW160" s="8" t="s">
        <v>120</v>
      </c>
      <c r="AY160" s="8" t="s">
        <v>116</v>
      </c>
      <c r="AZ160" s="8" t="s">
        <v>67</v>
      </c>
      <c r="BD160" s="8" t="s">
        <v>115</v>
      </c>
      <c r="BJ160" s="51" t="e">
        <f>IF(#REF!="základní",N160,0)</f>
        <v>#REF!</v>
      </c>
      <c r="BK160" s="51" t="e">
        <f>IF(#REF!="snížená",N160,0)</f>
        <v>#REF!</v>
      </c>
      <c r="BL160" s="51" t="e">
        <f>IF(#REF!="zákl. přenesená",N160,0)</f>
        <v>#REF!</v>
      </c>
      <c r="BM160" s="51" t="e">
        <f>IF(#REF!="sníž. přenesená",N160,0)</f>
        <v>#REF!</v>
      </c>
      <c r="BN160" s="51" t="e">
        <f>IF(#REF!="nulová",N160,0)</f>
        <v>#REF!</v>
      </c>
      <c r="BO160" s="8" t="s">
        <v>56</v>
      </c>
      <c r="BP160" s="51">
        <f t="shared" si="6"/>
        <v>0</v>
      </c>
      <c r="BQ160" s="8" t="s">
        <v>120</v>
      </c>
      <c r="BR160" s="8" t="s">
        <v>160</v>
      </c>
    </row>
    <row r="161" spans="2:70" s="16" customFormat="1" ht="47.25" customHeight="1">
      <c r="B161" s="17"/>
      <c r="C161" s="97">
        <f t="shared" si="7"/>
        <v>24</v>
      </c>
      <c r="D161" s="97" t="s">
        <v>166</v>
      </c>
      <c r="E161" s="98" t="s">
        <v>565</v>
      </c>
      <c r="F161" s="198" t="s">
        <v>566</v>
      </c>
      <c r="G161" s="198"/>
      <c r="H161" s="198"/>
      <c r="I161" s="198"/>
      <c r="J161" s="99" t="s">
        <v>135</v>
      </c>
      <c r="K161" s="100">
        <v>5</v>
      </c>
      <c r="L161" s="193"/>
      <c r="M161" s="194"/>
      <c r="N161" s="199">
        <f t="shared" si="5"/>
        <v>0</v>
      </c>
      <c r="O161" s="195"/>
      <c r="P161" s="195"/>
      <c r="Q161" s="195"/>
      <c r="R161" s="19"/>
      <c r="S161" s="111"/>
      <c r="T161" s="111"/>
      <c r="U161" s="111"/>
      <c r="V161" s="111"/>
      <c r="W161" s="111"/>
      <c r="X161" s="111"/>
      <c r="Y161" s="111"/>
      <c r="Z161" s="111"/>
      <c r="AA161" s="111"/>
      <c r="AB161" s="111"/>
      <c r="AC161" s="111"/>
      <c r="AD161" s="111"/>
      <c r="AE161" s="111"/>
      <c r="AF161" s="111"/>
      <c r="AG161" s="111"/>
      <c r="AH161" s="111"/>
      <c r="AI161" s="111"/>
      <c r="AJ161" s="111"/>
      <c r="AK161" s="111"/>
      <c r="AL161" s="111"/>
      <c r="AM161" s="111"/>
      <c r="AN161" s="111"/>
      <c r="AO161" s="111"/>
      <c r="AP161" s="111"/>
      <c r="AQ161" s="111"/>
      <c r="AR161" s="111"/>
      <c r="AS161" s="111"/>
      <c r="AW161" s="8" t="s">
        <v>134</v>
      </c>
      <c r="AY161" s="8" t="s">
        <v>166</v>
      </c>
      <c r="AZ161" s="8" t="s">
        <v>67</v>
      </c>
      <c r="BD161" s="8" t="s">
        <v>115</v>
      </c>
      <c r="BJ161" s="51" t="e">
        <f>IF(#REF!="základní",N161,0)</f>
        <v>#REF!</v>
      </c>
      <c r="BK161" s="51" t="e">
        <f>IF(#REF!="snížená",N161,0)</f>
        <v>#REF!</v>
      </c>
      <c r="BL161" s="51" t="e">
        <f>IF(#REF!="zákl. přenesená",N161,0)</f>
        <v>#REF!</v>
      </c>
      <c r="BM161" s="51" t="e">
        <f>IF(#REF!="sníž. přenesená",N161,0)</f>
        <v>#REF!</v>
      </c>
      <c r="BN161" s="51" t="e">
        <f>IF(#REF!="nulová",N161,0)</f>
        <v>#REF!</v>
      </c>
      <c r="BO161" s="8" t="s">
        <v>56</v>
      </c>
      <c r="BP161" s="51">
        <f t="shared" si="6"/>
        <v>0</v>
      </c>
      <c r="BQ161" s="8" t="s">
        <v>120</v>
      </c>
      <c r="BR161" s="8" t="s">
        <v>174</v>
      </c>
    </row>
    <row r="162" spans="2:70" s="77" customFormat="1" ht="29.85" customHeight="1">
      <c r="B162" s="76"/>
      <c r="D162" s="86" t="s">
        <v>85</v>
      </c>
      <c r="E162" s="86"/>
      <c r="F162" s="86"/>
      <c r="G162" s="86"/>
      <c r="H162" s="86"/>
      <c r="I162" s="86"/>
      <c r="J162" s="86"/>
      <c r="K162" s="86"/>
      <c r="L162" s="86"/>
      <c r="M162" s="86"/>
      <c r="N162" s="202">
        <f>SUM(N163:Q194)</f>
        <v>0</v>
      </c>
      <c r="O162" s="203"/>
      <c r="P162" s="203"/>
      <c r="Q162" s="203"/>
      <c r="R162" s="79"/>
      <c r="S162" s="111"/>
      <c r="T162" s="111"/>
      <c r="U162" s="111"/>
      <c r="V162" s="111"/>
      <c r="W162" s="111"/>
      <c r="X162" s="111"/>
      <c r="Y162" s="111"/>
      <c r="Z162" s="111"/>
      <c r="AA162" s="111"/>
      <c r="AB162" s="111"/>
      <c r="AC162" s="111"/>
      <c r="AD162" s="111"/>
      <c r="AE162" s="111"/>
      <c r="AF162" s="111"/>
      <c r="AG162" s="111"/>
      <c r="AH162" s="111"/>
      <c r="AI162" s="111"/>
      <c r="AJ162" s="111"/>
      <c r="AK162" s="111"/>
      <c r="AL162" s="111"/>
      <c r="AM162" s="111"/>
      <c r="AN162" s="111"/>
      <c r="AO162" s="111"/>
      <c r="AP162" s="111"/>
      <c r="AQ162" s="111"/>
      <c r="AR162" s="111"/>
      <c r="AS162" s="111"/>
      <c r="AW162" s="83" t="s">
        <v>56</v>
      </c>
      <c r="AY162" s="84" t="s">
        <v>53</v>
      </c>
      <c r="AZ162" s="84" t="s">
        <v>56</v>
      </c>
      <c r="BD162" s="83" t="s">
        <v>115</v>
      </c>
      <c r="BP162" s="56">
        <f>SUM(BP163:BP186)</f>
        <v>0</v>
      </c>
    </row>
    <row r="163" spans="2:70" s="16" customFormat="1" ht="38.25" customHeight="1">
      <c r="B163" s="17"/>
      <c r="C163" s="87">
        <f>+C161+1</f>
        <v>25</v>
      </c>
      <c r="D163" s="87" t="s">
        <v>116</v>
      </c>
      <c r="E163" s="88" t="s">
        <v>161</v>
      </c>
      <c r="F163" s="192" t="s">
        <v>162</v>
      </c>
      <c r="G163" s="192"/>
      <c r="H163" s="192"/>
      <c r="I163" s="192"/>
      <c r="J163" s="89" t="s">
        <v>119</v>
      </c>
      <c r="K163" s="90">
        <v>49.12</v>
      </c>
      <c r="L163" s="193"/>
      <c r="M163" s="194"/>
      <c r="N163" s="195">
        <f t="shared" ref="N163:N186" si="9">ROUND(L163*K163,2)</f>
        <v>0</v>
      </c>
      <c r="O163" s="195"/>
      <c r="P163" s="195"/>
      <c r="Q163" s="195"/>
      <c r="R163" s="19"/>
      <c r="S163" s="111"/>
      <c r="T163" s="111"/>
      <c r="U163" s="111"/>
      <c r="V163" s="111"/>
      <c r="W163" s="111"/>
      <c r="X163" s="111"/>
      <c r="Y163" s="111"/>
      <c r="Z163" s="111"/>
      <c r="AA163" s="111"/>
      <c r="AB163" s="111"/>
      <c r="AC163" s="111"/>
      <c r="AD163" s="111"/>
      <c r="AE163" s="111"/>
      <c r="AF163" s="111"/>
      <c r="AG163" s="111"/>
      <c r="AH163" s="111"/>
      <c r="AI163" s="111"/>
      <c r="AJ163" s="111"/>
      <c r="AK163" s="111"/>
      <c r="AL163" s="111"/>
      <c r="AM163" s="111"/>
      <c r="AN163" s="111"/>
      <c r="AO163" s="111"/>
      <c r="AP163" s="111"/>
      <c r="AQ163" s="111"/>
      <c r="AR163" s="111"/>
      <c r="AS163" s="111"/>
      <c r="AW163" s="8" t="s">
        <v>120</v>
      </c>
      <c r="AY163" s="8" t="s">
        <v>116</v>
      </c>
      <c r="AZ163" s="8" t="s">
        <v>67</v>
      </c>
      <c r="BD163" s="8" t="s">
        <v>115</v>
      </c>
      <c r="BJ163" s="51" t="e">
        <f>IF(#REF!="základní",N163,0)</f>
        <v>#REF!</v>
      </c>
      <c r="BK163" s="51" t="e">
        <f>IF(#REF!="snížená",N163,0)</f>
        <v>#REF!</v>
      </c>
      <c r="BL163" s="51" t="e">
        <f>IF(#REF!="zákl. přenesená",N163,0)</f>
        <v>#REF!</v>
      </c>
      <c r="BM163" s="51" t="e">
        <f>IF(#REF!="sníž. přenesená",N163,0)</f>
        <v>#REF!</v>
      </c>
      <c r="BN163" s="51" t="e">
        <f>IF(#REF!="nulová",N163,0)</f>
        <v>#REF!</v>
      </c>
      <c r="BO163" s="8" t="s">
        <v>56</v>
      </c>
      <c r="BP163" s="51">
        <f t="shared" ref="BP163:BP194" si="10">ROUND(L163*K163,2)</f>
        <v>0</v>
      </c>
      <c r="BQ163" s="8" t="s">
        <v>120</v>
      </c>
      <c r="BR163" s="8" t="s">
        <v>163</v>
      </c>
    </row>
    <row r="164" spans="2:70" s="16" customFormat="1" ht="25.5" customHeight="1">
      <c r="B164" s="17"/>
      <c r="C164" s="97">
        <f>+C163+1</f>
        <v>26</v>
      </c>
      <c r="D164" s="97" t="s">
        <v>166</v>
      </c>
      <c r="E164" s="98" t="s">
        <v>567</v>
      </c>
      <c r="F164" s="198" t="s">
        <v>568</v>
      </c>
      <c r="G164" s="198"/>
      <c r="H164" s="198"/>
      <c r="I164" s="198"/>
      <c r="J164" s="99" t="s">
        <v>119</v>
      </c>
      <c r="K164" s="100">
        <f>+K163*1.05</f>
        <v>51.576000000000001</v>
      </c>
      <c r="L164" s="193"/>
      <c r="M164" s="194"/>
      <c r="N164" s="199">
        <f t="shared" ref="N164" si="11">ROUND(L164*K164,2)</f>
        <v>0</v>
      </c>
      <c r="O164" s="195"/>
      <c r="P164" s="195"/>
      <c r="Q164" s="195"/>
      <c r="R164" s="19"/>
      <c r="S164" s="111"/>
      <c r="T164" s="111"/>
      <c r="U164" s="111"/>
      <c r="V164" s="111"/>
      <c r="W164" s="111"/>
      <c r="X164" s="111"/>
      <c r="Y164" s="111"/>
      <c r="Z164" s="111"/>
      <c r="AA164" s="111"/>
      <c r="AB164" s="111"/>
      <c r="AC164" s="111"/>
      <c r="AD164" s="111"/>
      <c r="AE164" s="111"/>
      <c r="AF164" s="111"/>
      <c r="AG164" s="111"/>
      <c r="AH164" s="111"/>
      <c r="AI164" s="111"/>
      <c r="AJ164" s="111"/>
      <c r="AK164" s="111"/>
      <c r="AL164" s="111"/>
      <c r="AM164" s="111"/>
      <c r="AN164" s="111"/>
      <c r="AO164" s="111"/>
      <c r="AP164" s="111"/>
      <c r="AQ164" s="111"/>
      <c r="AR164" s="111"/>
      <c r="AS164" s="111"/>
      <c r="AW164" s="8" t="s">
        <v>134</v>
      </c>
      <c r="AY164" s="8" t="s">
        <v>166</v>
      </c>
      <c r="AZ164" s="8" t="s">
        <v>67</v>
      </c>
      <c r="BD164" s="8" t="s">
        <v>115</v>
      </c>
      <c r="BJ164" s="51" t="e">
        <f>IF(#REF!="základní",N164,0)</f>
        <v>#REF!</v>
      </c>
      <c r="BK164" s="51" t="e">
        <f>IF(#REF!="snížená",N164,0)</f>
        <v>#REF!</v>
      </c>
      <c r="BL164" s="51" t="e">
        <f>IF(#REF!="zákl. přenesená",N164,0)</f>
        <v>#REF!</v>
      </c>
      <c r="BM164" s="51" t="e">
        <f>IF(#REF!="sníž. přenesená",N164,0)</f>
        <v>#REF!</v>
      </c>
      <c r="BN164" s="51" t="e">
        <f>IF(#REF!="nulová",N164,0)</f>
        <v>#REF!</v>
      </c>
      <c r="BO164" s="8" t="s">
        <v>56</v>
      </c>
      <c r="BP164" s="51">
        <f t="shared" si="10"/>
        <v>0</v>
      </c>
      <c r="BQ164" s="8" t="s">
        <v>120</v>
      </c>
      <c r="BR164" s="8" t="s">
        <v>167</v>
      </c>
    </row>
    <row r="165" spans="2:70" s="16" customFormat="1" ht="38.25" customHeight="1">
      <c r="B165" s="17"/>
      <c r="C165" s="87">
        <f t="shared" ref="C165:C192" si="12">+C164+1</f>
        <v>27</v>
      </c>
      <c r="D165" s="87" t="s">
        <v>116</v>
      </c>
      <c r="E165" s="88" t="s">
        <v>164</v>
      </c>
      <c r="F165" s="192" t="s">
        <v>621</v>
      </c>
      <c r="G165" s="192"/>
      <c r="H165" s="192"/>
      <c r="I165" s="192"/>
      <c r="J165" s="89" t="s">
        <v>119</v>
      </c>
      <c r="K165" s="90">
        <v>74.323999999999998</v>
      </c>
      <c r="L165" s="193"/>
      <c r="M165" s="194"/>
      <c r="N165" s="195">
        <f t="shared" si="9"/>
        <v>0</v>
      </c>
      <c r="O165" s="195"/>
      <c r="P165" s="195"/>
      <c r="Q165" s="195"/>
      <c r="R165" s="19"/>
      <c r="S165" s="111"/>
      <c r="T165" s="111"/>
      <c r="U165" s="111"/>
      <c r="V165" s="111"/>
      <c r="W165" s="111"/>
      <c r="X165" s="111"/>
      <c r="Y165" s="111"/>
      <c r="Z165" s="111"/>
      <c r="AA165" s="111"/>
      <c r="AB165" s="111"/>
      <c r="AC165" s="111"/>
      <c r="AD165" s="111"/>
      <c r="AE165" s="111"/>
      <c r="AF165" s="111"/>
      <c r="AG165" s="111"/>
      <c r="AH165" s="111"/>
      <c r="AI165" s="111"/>
      <c r="AJ165" s="111"/>
      <c r="AK165" s="111"/>
      <c r="AL165" s="111"/>
      <c r="AM165" s="111"/>
      <c r="AN165" s="111"/>
      <c r="AO165" s="111"/>
      <c r="AP165" s="111"/>
      <c r="AQ165" s="111"/>
      <c r="AR165" s="111"/>
      <c r="AS165" s="111"/>
      <c r="AW165" s="8" t="s">
        <v>120</v>
      </c>
      <c r="AY165" s="8" t="s">
        <v>116</v>
      </c>
      <c r="AZ165" s="8" t="s">
        <v>67</v>
      </c>
      <c r="BD165" s="8" t="s">
        <v>115</v>
      </c>
      <c r="BJ165" s="51" t="e">
        <f>IF(#REF!="základní",N165,0)</f>
        <v>#REF!</v>
      </c>
      <c r="BK165" s="51" t="e">
        <f>IF(#REF!="snížená",N165,0)</f>
        <v>#REF!</v>
      </c>
      <c r="BL165" s="51" t="e">
        <f>IF(#REF!="zákl. přenesená",N165,0)</f>
        <v>#REF!</v>
      </c>
      <c r="BM165" s="51" t="e">
        <f>IF(#REF!="sníž. přenesená",N165,0)</f>
        <v>#REF!</v>
      </c>
      <c r="BN165" s="51" t="e">
        <f>IF(#REF!="nulová",N165,0)</f>
        <v>#REF!</v>
      </c>
      <c r="BO165" s="8" t="s">
        <v>56</v>
      </c>
      <c r="BP165" s="51">
        <f t="shared" si="10"/>
        <v>0</v>
      </c>
      <c r="BQ165" s="8" t="s">
        <v>120</v>
      </c>
      <c r="BR165" s="8" t="s">
        <v>165</v>
      </c>
    </row>
    <row r="166" spans="2:70" s="16" customFormat="1" ht="25.5" customHeight="1">
      <c r="B166" s="17"/>
      <c r="C166" s="97">
        <f t="shared" si="12"/>
        <v>28</v>
      </c>
      <c r="D166" s="97" t="s">
        <v>166</v>
      </c>
      <c r="E166" s="98" t="s">
        <v>567</v>
      </c>
      <c r="F166" s="198" t="s">
        <v>568</v>
      </c>
      <c r="G166" s="198"/>
      <c r="H166" s="198"/>
      <c r="I166" s="198"/>
      <c r="J166" s="99" t="s">
        <v>119</v>
      </c>
      <c r="K166" s="100">
        <f>+K165*1.05</f>
        <v>78.040199999999999</v>
      </c>
      <c r="L166" s="193"/>
      <c r="M166" s="194"/>
      <c r="N166" s="199">
        <f t="shared" si="9"/>
        <v>0</v>
      </c>
      <c r="O166" s="195"/>
      <c r="P166" s="195"/>
      <c r="Q166" s="195"/>
      <c r="R166" s="19"/>
      <c r="S166" s="111"/>
      <c r="T166" s="111"/>
      <c r="U166" s="111"/>
      <c r="V166" s="111"/>
      <c r="W166" s="111"/>
      <c r="X166" s="111"/>
      <c r="Y166" s="111"/>
      <c r="Z166" s="111"/>
      <c r="AA166" s="111"/>
      <c r="AB166" s="111"/>
      <c r="AC166" s="111"/>
      <c r="AD166" s="111"/>
      <c r="AE166" s="111"/>
      <c r="AF166" s="111"/>
      <c r="AG166" s="111"/>
      <c r="AH166" s="111"/>
      <c r="AI166" s="111"/>
      <c r="AJ166" s="111"/>
      <c r="AK166" s="111"/>
      <c r="AL166" s="111"/>
      <c r="AM166" s="111"/>
      <c r="AN166" s="111"/>
      <c r="AO166" s="111"/>
      <c r="AP166" s="111"/>
      <c r="AQ166" s="111"/>
      <c r="AR166" s="111"/>
      <c r="AS166" s="111"/>
      <c r="AW166" s="8" t="s">
        <v>134</v>
      </c>
      <c r="AY166" s="8" t="s">
        <v>166</v>
      </c>
      <c r="AZ166" s="8" t="s">
        <v>67</v>
      </c>
      <c r="BD166" s="8" t="s">
        <v>115</v>
      </c>
      <c r="BJ166" s="51" t="e">
        <f>IF(#REF!="základní",N166,0)</f>
        <v>#REF!</v>
      </c>
      <c r="BK166" s="51" t="e">
        <f>IF(#REF!="snížená",N166,0)</f>
        <v>#REF!</v>
      </c>
      <c r="BL166" s="51" t="e">
        <f>IF(#REF!="zákl. přenesená",N166,0)</f>
        <v>#REF!</v>
      </c>
      <c r="BM166" s="51" t="e">
        <f>IF(#REF!="sníž. přenesená",N166,0)</f>
        <v>#REF!</v>
      </c>
      <c r="BN166" s="51" t="e">
        <f>IF(#REF!="nulová",N166,0)</f>
        <v>#REF!</v>
      </c>
      <c r="BO166" s="8" t="s">
        <v>56</v>
      </c>
      <c r="BP166" s="51">
        <f t="shared" si="10"/>
        <v>0</v>
      </c>
      <c r="BQ166" s="8" t="s">
        <v>120</v>
      </c>
      <c r="BR166" s="8" t="s">
        <v>167</v>
      </c>
    </row>
    <row r="167" spans="2:70" s="16" customFormat="1" ht="38.25" customHeight="1">
      <c r="B167" s="17"/>
      <c r="C167" s="87">
        <f t="shared" si="12"/>
        <v>29</v>
      </c>
      <c r="D167" s="87" t="s">
        <v>116</v>
      </c>
      <c r="E167" s="88" t="s">
        <v>569</v>
      </c>
      <c r="F167" s="192" t="s">
        <v>570</v>
      </c>
      <c r="G167" s="192"/>
      <c r="H167" s="192"/>
      <c r="I167" s="192"/>
      <c r="J167" s="89" t="s">
        <v>119</v>
      </c>
      <c r="K167" s="90">
        <f>+K163+K165</f>
        <v>123.44399999999999</v>
      </c>
      <c r="L167" s="193"/>
      <c r="M167" s="194"/>
      <c r="N167" s="195">
        <f t="shared" si="9"/>
        <v>0</v>
      </c>
      <c r="O167" s="195"/>
      <c r="P167" s="195"/>
      <c r="Q167" s="195"/>
      <c r="R167" s="19"/>
      <c r="S167" s="111"/>
      <c r="T167" s="111"/>
      <c r="U167" s="111"/>
      <c r="V167" s="111"/>
      <c r="W167" s="111"/>
      <c r="X167" s="111"/>
      <c r="Y167" s="111"/>
      <c r="Z167" s="111"/>
      <c r="AA167" s="111"/>
      <c r="AB167" s="111"/>
      <c r="AC167" s="111"/>
      <c r="AD167" s="111"/>
      <c r="AE167" s="111"/>
      <c r="AF167" s="111"/>
      <c r="AG167" s="111"/>
      <c r="AH167" s="111"/>
      <c r="AI167" s="111"/>
      <c r="AJ167" s="111"/>
      <c r="AK167" s="111"/>
      <c r="AL167" s="111"/>
      <c r="AM167" s="111"/>
      <c r="AN167" s="111"/>
      <c r="AO167" s="111"/>
      <c r="AP167" s="111"/>
      <c r="AQ167" s="111"/>
      <c r="AR167" s="111"/>
      <c r="AS167" s="111"/>
      <c r="AW167" s="8" t="s">
        <v>120</v>
      </c>
      <c r="AY167" s="8" t="s">
        <v>116</v>
      </c>
      <c r="AZ167" s="8" t="s">
        <v>67</v>
      </c>
      <c r="BD167" s="8" t="s">
        <v>115</v>
      </c>
      <c r="BJ167" s="51" t="e">
        <f>IF(#REF!="základní",N167,0)</f>
        <v>#REF!</v>
      </c>
      <c r="BK167" s="51" t="e">
        <f>IF(#REF!="snížená",N167,0)</f>
        <v>#REF!</v>
      </c>
      <c r="BL167" s="51" t="e">
        <f>IF(#REF!="zákl. přenesená",N167,0)</f>
        <v>#REF!</v>
      </c>
      <c r="BM167" s="51" t="e">
        <f>IF(#REF!="sníž. přenesená",N167,0)</f>
        <v>#REF!</v>
      </c>
      <c r="BN167" s="51" t="e">
        <f>IF(#REF!="nulová",N167,0)</f>
        <v>#REF!</v>
      </c>
      <c r="BO167" s="8" t="s">
        <v>56</v>
      </c>
      <c r="BP167" s="51">
        <f t="shared" si="10"/>
        <v>0</v>
      </c>
      <c r="BQ167" s="8" t="s">
        <v>120</v>
      </c>
      <c r="BR167" s="8" t="s">
        <v>168</v>
      </c>
    </row>
    <row r="168" spans="2:70" s="16" customFormat="1" ht="57.75" customHeight="1">
      <c r="B168" s="17"/>
      <c r="C168" s="87">
        <f t="shared" si="12"/>
        <v>30</v>
      </c>
      <c r="D168" s="87" t="s">
        <v>116</v>
      </c>
      <c r="E168" s="88" t="s">
        <v>169</v>
      </c>
      <c r="F168" s="192" t="s">
        <v>571</v>
      </c>
      <c r="G168" s="192"/>
      <c r="H168" s="192"/>
      <c r="I168" s="192"/>
      <c r="J168" s="89" t="s">
        <v>119</v>
      </c>
      <c r="K168" s="90">
        <v>1136</v>
      </c>
      <c r="L168" s="193"/>
      <c r="M168" s="194"/>
      <c r="N168" s="195">
        <f t="shared" si="9"/>
        <v>0</v>
      </c>
      <c r="O168" s="195"/>
      <c r="P168" s="195"/>
      <c r="Q168" s="195"/>
      <c r="R168" s="19"/>
      <c r="S168" s="111"/>
      <c r="T168" s="111"/>
      <c r="U168" s="111"/>
      <c r="V168" s="111"/>
      <c r="W168" s="111"/>
      <c r="X168" s="111"/>
      <c r="Y168" s="111"/>
      <c r="Z168" s="111"/>
      <c r="AA168" s="111"/>
      <c r="AB168" s="111"/>
      <c r="AC168" s="111"/>
      <c r="AD168" s="111"/>
      <c r="AE168" s="111"/>
      <c r="AF168" s="111"/>
      <c r="AG168" s="111"/>
      <c r="AH168" s="111"/>
      <c r="AI168" s="111"/>
      <c r="AJ168" s="111"/>
      <c r="AK168" s="111"/>
      <c r="AL168" s="111"/>
      <c r="AM168" s="111"/>
      <c r="AN168" s="111"/>
      <c r="AO168" s="111"/>
      <c r="AP168" s="111"/>
      <c r="AQ168" s="111"/>
      <c r="AR168" s="111"/>
      <c r="AS168" s="111"/>
      <c r="AW168" s="8" t="s">
        <v>120</v>
      </c>
      <c r="AY168" s="8" t="s">
        <v>116</v>
      </c>
      <c r="AZ168" s="8" t="s">
        <v>67</v>
      </c>
      <c r="BD168" s="8" t="s">
        <v>115</v>
      </c>
      <c r="BJ168" s="51" t="e">
        <f>IF(#REF!="základní",N168,0)</f>
        <v>#REF!</v>
      </c>
      <c r="BK168" s="51" t="e">
        <f>IF(#REF!="snížená",N168,0)</f>
        <v>#REF!</v>
      </c>
      <c r="BL168" s="51" t="e">
        <f>IF(#REF!="zákl. přenesená",N168,0)</f>
        <v>#REF!</v>
      </c>
      <c r="BM168" s="51" t="e">
        <f>IF(#REF!="sníž. přenesená",N168,0)</f>
        <v>#REF!</v>
      </c>
      <c r="BN168" s="51" t="e">
        <f>IF(#REF!="nulová",N168,0)</f>
        <v>#REF!</v>
      </c>
      <c r="BO168" s="8" t="s">
        <v>56</v>
      </c>
      <c r="BP168" s="51">
        <f t="shared" si="10"/>
        <v>0</v>
      </c>
      <c r="BQ168" s="8" t="s">
        <v>120</v>
      </c>
      <c r="BR168" s="8" t="s">
        <v>170</v>
      </c>
    </row>
    <row r="169" spans="2:70" s="16" customFormat="1" ht="25.5" customHeight="1">
      <c r="B169" s="17"/>
      <c r="C169" s="97">
        <f t="shared" si="12"/>
        <v>31</v>
      </c>
      <c r="D169" s="97" t="s">
        <v>166</v>
      </c>
      <c r="E169" s="98" t="s">
        <v>572</v>
      </c>
      <c r="F169" s="198" t="s">
        <v>619</v>
      </c>
      <c r="G169" s="198"/>
      <c r="H169" s="198"/>
      <c r="I169" s="198"/>
      <c r="J169" s="99" t="s">
        <v>119</v>
      </c>
      <c r="K169" s="100">
        <f>+K168*1.05</f>
        <v>1192.8</v>
      </c>
      <c r="L169" s="193"/>
      <c r="M169" s="194"/>
      <c r="N169" s="199">
        <f t="shared" ref="N169" si="13">ROUND(L169*K169,2)</f>
        <v>0</v>
      </c>
      <c r="O169" s="195"/>
      <c r="P169" s="195"/>
      <c r="Q169" s="195"/>
      <c r="R169" s="19"/>
      <c r="S169" s="111"/>
      <c r="T169" s="111"/>
      <c r="U169" s="111"/>
      <c r="V169" s="111"/>
      <c r="W169" s="111"/>
      <c r="X169" s="111"/>
      <c r="Y169" s="111"/>
      <c r="Z169" s="111"/>
      <c r="AA169" s="111"/>
      <c r="AB169" s="111"/>
      <c r="AC169" s="111"/>
      <c r="AD169" s="111"/>
      <c r="AE169" s="111"/>
      <c r="AF169" s="111"/>
      <c r="AG169" s="111"/>
      <c r="AH169" s="111"/>
      <c r="AI169" s="111"/>
      <c r="AJ169" s="111"/>
      <c r="AK169" s="111"/>
      <c r="AL169" s="111"/>
      <c r="AM169" s="111"/>
      <c r="AN169" s="111"/>
      <c r="AO169" s="111"/>
      <c r="AP169" s="111"/>
      <c r="AQ169" s="111"/>
      <c r="AR169" s="111"/>
      <c r="AS169" s="111"/>
      <c r="AW169" s="8" t="s">
        <v>134</v>
      </c>
      <c r="AY169" s="8" t="s">
        <v>166</v>
      </c>
      <c r="AZ169" s="8" t="s">
        <v>67</v>
      </c>
      <c r="BD169" s="8" t="s">
        <v>115</v>
      </c>
      <c r="BJ169" s="51" t="e">
        <f>IF(#REF!="základní",N169,0)</f>
        <v>#REF!</v>
      </c>
      <c r="BK169" s="51" t="e">
        <f>IF(#REF!="snížená",N169,0)</f>
        <v>#REF!</v>
      </c>
      <c r="BL169" s="51" t="e">
        <f>IF(#REF!="zákl. přenesená",N169,0)</f>
        <v>#REF!</v>
      </c>
      <c r="BM169" s="51" t="e">
        <f>IF(#REF!="sníž. přenesená",N169,0)</f>
        <v>#REF!</v>
      </c>
      <c r="BN169" s="51" t="e">
        <f>IF(#REF!="nulová",N169,0)</f>
        <v>#REF!</v>
      </c>
      <c r="BO169" s="8" t="s">
        <v>56</v>
      </c>
      <c r="BP169" s="51">
        <f t="shared" si="10"/>
        <v>0</v>
      </c>
      <c r="BQ169" s="8" t="s">
        <v>120</v>
      </c>
      <c r="BR169" s="8" t="s">
        <v>167</v>
      </c>
    </row>
    <row r="170" spans="2:70" s="16" customFormat="1" ht="38.25" customHeight="1">
      <c r="B170" s="17"/>
      <c r="C170" s="87">
        <f t="shared" si="12"/>
        <v>32</v>
      </c>
      <c r="D170" s="87" t="s">
        <v>116</v>
      </c>
      <c r="E170" s="88" t="s">
        <v>171</v>
      </c>
      <c r="F170" s="192" t="s">
        <v>172</v>
      </c>
      <c r="G170" s="192"/>
      <c r="H170" s="192"/>
      <c r="I170" s="192"/>
      <c r="J170" s="89" t="s">
        <v>135</v>
      </c>
      <c r="K170" s="90">
        <v>715.5</v>
      </c>
      <c r="L170" s="193"/>
      <c r="M170" s="194"/>
      <c r="N170" s="195">
        <f t="shared" si="9"/>
        <v>0</v>
      </c>
      <c r="O170" s="195"/>
      <c r="P170" s="195"/>
      <c r="Q170" s="195"/>
      <c r="R170" s="19"/>
      <c r="S170" s="111"/>
      <c r="T170" s="111"/>
      <c r="U170" s="111"/>
      <c r="V170" s="111"/>
      <c r="W170" s="111"/>
      <c r="X170" s="111"/>
      <c r="Y170" s="111"/>
      <c r="Z170" s="111"/>
      <c r="AA170" s="111"/>
      <c r="AB170" s="111"/>
      <c r="AC170" s="111"/>
      <c r="AD170" s="111"/>
      <c r="AE170" s="111"/>
      <c r="AF170" s="111"/>
      <c r="AG170" s="111"/>
      <c r="AH170" s="111"/>
      <c r="AI170" s="111"/>
      <c r="AJ170" s="111"/>
      <c r="AK170" s="111"/>
      <c r="AL170" s="111"/>
      <c r="AM170" s="111"/>
      <c r="AN170" s="111"/>
      <c r="AO170" s="111"/>
      <c r="AP170" s="111"/>
      <c r="AQ170" s="111"/>
      <c r="AR170" s="111"/>
      <c r="AS170" s="111"/>
      <c r="AW170" s="8" t="s">
        <v>120</v>
      </c>
      <c r="AY170" s="8" t="s">
        <v>116</v>
      </c>
      <c r="AZ170" s="8" t="s">
        <v>67</v>
      </c>
      <c r="BD170" s="8" t="s">
        <v>115</v>
      </c>
      <c r="BJ170" s="51" t="e">
        <f>IF(#REF!="základní",N170,0)</f>
        <v>#REF!</v>
      </c>
      <c r="BK170" s="51" t="e">
        <f>IF(#REF!="snížená",N170,0)</f>
        <v>#REF!</v>
      </c>
      <c r="BL170" s="51" t="e">
        <f>IF(#REF!="zákl. přenesená",N170,0)</f>
        <v>#REF!</v>
      </c>
      <c r="BM170" s="51" t="e">
        <f>IF(#REF!="sníž. přenesená",N170,0)</f>
        <v>#REF!</v>
      </c>
      <c r="BN170" s="51" t="e">
        <f>IF(#REF!="nulová",N170,0)</f>
        <v>#REF!</v>
      </c>
      <c r="BO170" s="8" t="s">
        <v>56</v>
      </c>
      <c r="BP170" s="51">
        <f t="shared" si="10"/>
        <v>0</v>
      </c>
      <c r="BQ170" s="8" t="s">
        <v>120</v>
      </c>
      <c r="BR170" s="8" t="s">
        <v>173</v>
      </c>
    </row>
    <row r="171" spans="2:70" s="16" customFormat="1" ht="16.5" customHeight="1">
      <c r="B171" s="17"/>
      <c r="C171" s="97">
        <f t="shared" si="12"/>
        <v>33</v>
      </c>
      <c r="D171" s="97" t="s">
        <v>166</v>
      </c>
      <c r="E171" s="98" t="s">
        <v>175</v>
      </c>
      <c r="F171" s="198" t="s">
        <v>630</v>
      </c>
      <c r="G171" s="198"/>
      <c r="H171" s="198"/>
      <c r="I171" s="198"/>
      <c r="J171" s="99" t="s">
        <v>119</v>
      </c>
      <c r="K171" s="100">
        <f>(107.34+42.197)*1.05</f>
        <v>157.01385000000002</v>
      </c>
      <c r="L171" s="193"/>
      <c r="M171" s="194"/>
      <c r="N171" s="199">
        <f t="shared" si="9"/>
        <v>0</v>
      </c>
      <c r="O171" s="195"/>
      <c r="P171" s="195"/>
      <c r="Q171" s="195"/>
      <c r="R171" s="19"/>
      <c r="S171" s="127"/>
      <c r="T171" s="127"/>
      <c r="U171" s="127"/>
      <c r="V171" s="127"/>
      <c r="W171" s="127"/>
      <c r="X171" s="127"/>
      <c r="Y171" s="127"/>
      <c r="Z171" s="127"/>
      <c r="AA171" s="127"/>
      <c r="AB171" s="127"/>
      <c r="AC171" s="127"/>
      <c r="AD171" s="127"/>
      <c r="AE171" s="127"/>
      <c r="AF171" s="127"/>
      <c r="AG171" s="127"/>
      <c r="AH171" s="127"/>
      <c r="AI171" s="127"/>
      <c r="AJ171" s="127"/>
      <c r="AK171" s="127"/>
      <c r="AL171" s="127"/>
      <c r="AM171" s="127"/>
      <c r="AN171" s="127"/>
      <c r="AO171" s="127"/>
      <c r="AP171" s="127"/>
      <c r="AQ171" s="127"/>
      <c r="AR171" s="127"/>
      <c r="AS171" s="127"/>
      <c r="AW171" s="8" t="s">
        <v>134</v>
      </c>
      <c r="AY171" s="8" t="s">
        <v>166</v>
      </c>
      <c r="AZ171" s="8" t="s">
        <v>67</v>
      </c>
      <c r="BD171" s="8" t="s">
        <v>115</v>
      </c>
      <c r="BJ171" s="51" t="e">
        <f>IF(#REF!="základní",N171,0)</f>
        <v>#REF!</v>
      </c>
      <c r="BK171" s="51" t="e">
        <f>IF(#REF!="snížená",N171,0)</f>
        <v>#REF!</v>
      </c>
      <c r="BL171" s="51" t="e">
        <f>IF(#REF!="zákl. přenesená",N171,0)</f>
        <v>#REF!</v>
      </c>
      <c r="BM171" s="51" t="e">
        <f>IF(#REF!="sníž. přenesená",N171,0)</f>
        <v>#REF!</v>
      </c>
      <c r="BN171" s="51" t="e">
        <f>IF(#REF!="nulová",N171,0)</f>
        <v>#REF!</v>
      </c>
      <c r="BO171" s="8" t="s">
        <v>56</v>
      </c>
      <c r="BP171" s="51">
        <f t="shared" si="10"/>
        <v>0</v>
      </c>
      <c r="BQ171" s="8" t="s">
        <v>120</v>
      </c>
      <c r="BR171" s="8" t="s">
        <v>176</v>
      </c>
    </row>
    <row r="172" spans="2:70" s="16" customFormat="1" ht="57.75" customHeight="1">
      <c r="B172" s="17"/>
      <c r="C172" s="87">
        <f t="shared" si="12"/>
        <v>34</v>
      </c>
      <c r="D172" s="87" t="s">
        <v>116</v>
      </c>
      <c r="E172" s="88" t="s">
        <v>169</v>
      </c>
      <c r="F172" s="192" t="s">
        <v>631</v>
      </c>
      <c r="G172" s="192"/>
      <c r="H172" s="192"/>
      <c r="I172" s="192"/>
      <c r="J172" s="89" t="s">
        <v>119</v>
      </c>
      <c r="K172" s="90">
        <f>133.9+56.2</f>
        <v>190.10000000000002</v>
      </c>
      <c r="L172" s="193"/>
      <c r="M172" s="194"/>
      <c r="N172" s="195">
        <f t="shared" ref="N172:N173" si="14">ROUND(L172*K172,2)</f>
        <v>0</v>
      </c>
      <c r="O172" s="195"/>
      <c r="P172" s="195"/>
      <c r="Q172" s="195"/>
      <c r="R172" s="19"/>
      <c r="S172" s="111"/>
      <c r="T172" s="111"/>
      <c r="U172" s="111"/>
      <c r="V172" s="111"/>
      <c r="W172" s="111"/>
      <c r="X172" s="111"/>
      <c r="Y172" s="111"/>
      <c r="Z172" s="111"/>
      <c r="AA172" s="111"/>
      <c r="AB172" s="111"/>
      <c r="AC172" s="111"/>
      <c r="AD172" s="111"/>
      <c r="AE172" s="111"/>
      <c r="AF172" s="111"/>
      <c r="AG172" s="111"/>
      <c r="AH172" s="111"/>
      <c r="AI172" s="111"/>
      <c r="AJ172" s="111"/>
      <c r="AK172" s="111"/>
      <c r="AL172" s="111"/>
      <c r="AM172" s="111"/>
      <c r="AN172" s="111"/>
      <c r="AO172" s="111"/>
      <c r="AP172" s="111"/>
      <c r="AQ172" s="111"/>
      <c r="AR172" s="111"/>
      <c r="AS172" s="111"/>
      <c r="AW172" s="8" t="s">
        <v>120</v>
      </c>
      <c r="AY172" s="8" t="s">
        <v>116</v>
      </c>
      <c r="AZ172" s="8" t="s">
        <v>67</v>
      </c>
      <c r="BD172" s="8" t="s">
        <v>115</v>
      </c>
      <c r="BJ172" s="51" t="e">
        <f>IF(#REF!="základní",N172,0)</f>
        <v>#REF!</v>
      </c>
      <c r="BK172" s="51" t="e">
        <f>IF(#REF!="snížená",N172,0)</f>
        <v>#REF!</v>
      </c>
      <c r="BL172" s="51" t="e">
        <f>IF(#REF!="zákl. přenesená",N172,0)</f>
        <v>#REF!</v>
      </c>
      <c r="BM172" s="51" t="e">
        <f>IF(#REF!="sníž. přenesená",N172,0)</f>
        <v>#REF!</v>
      </c>
      <c r="BN172" s="51" t="e">
        <f>IF(#REF!="nulová",N172,0)</f>
        <v>#REF!</v>
      </c>
      <c r="BO172" s="8" t="s">
        <v>56</v>
      </c>
      <c r="BP172" s="51">
        <f t="shared" si="10"/>
        <v>0</v>
      </c>
      <c r="BQ172" s="8" t="s">
        <v>120</v>
      </c>
      <c r="BR172" s="8" t="s">
        <v>170</v>
      </c>
    </row>
    <row r="173" spans="2:70" s="16" customFormat="1" ht="26.25" customHeight="1">
      <c r="B173" s="17"/>
      <c r="C173" s="97">
        <f t="shared" si="12"/>
        <v>35</v>
      </c>
      <c r="D173" s="97" t="s">
        <v>166</v>
      </c>
      <c r="E173" s="98" t="s">
        <v>573</v>
      </c>
      <c r="F173" s="198" t="s">
        <v>629</v>
      </c>
      <c r="G173" s="198"/>
      <c r="H173" s="198"/>
      <c r="I173" s="198"/>
      <c r="J173" s="99" t="s">
        <v>119</v>
      </c>
      <c r="K173" s="100">
        <f>+K172*1.05</f>
        <v>199.60500000000002</v>
      </c>
      <c r="L173" s="193"/>
      <c r="M173" s="194"/>
      <c r="N173" s="199">
        <f t="shared" si="14"/>
        <v>0</v>
      </c>
      <c r="O173" s="195"/>
      <c r="P173" s="195"/>
      <c r="Q173" s="195"/>
      <c r="R173" s="19"/>
      <c r="S173" s="111"/>
      <c r="T173" s="111"/>
      <c r="U173" s="111"/>
      <c r="V173" s="111"/>
      <c r="W173" s="111"/>
      <c r="X173" s="111"/>
      <c r="Y173" s="111"/>
      <c r="Z173" s="111"/>
      <c r="AA173" s="111"/>
      <c r="AB173" s="111"/>
      <c r="AC173" s="111"/>
      <c r="AD173" s="111"/>
      <c r="AE173" s="111"/>
      <c r="AF173" s="111"/>
      <c r="AG173" s="111"/>
      <c r="AH173" s="111"/>
      <c r="AI173" s="111"/>
      <c r="AJ173" s="111"/>
      <c r="AK173" s="111"/>
      <c r="AL173" s="111"/>
      <c r="AM173" s="111"/>
      <c r="AN173" s="111"/>
      <c r="AO173" s="111"/>
      <c r="AP173" s="111"/>
      <c r="AQ173" s="111"/>
      <c r="AR173" s="111"/>
      <c r="AS173" s="111"/>
      <c r="AW173" s="8" t="s">
        <v>134</v>
      </c>
      <c r="AY173" s="8" t="s">
        <v>166</v>
      </c>
      <c r="AZ173" s="8" t="s">
        <v>67</v>
      </c>
      <c r="BD173" s="8" t="s">
        <v>115</v>
      </c>
      <c r="BJ173" s="51" t="e">
        <f>IF(#REF!="základní",N173,0)</f>
        <v>#REF!</v>
      </c>
      <c r="BK173" s="51" t="e">
        <f>IF(#REF!="snížená",N173,0)</f>
        <v>#REF!</v>
      </c>
      <c r="BL173" s="51" t="e">
        <f>IF(#REF!="zákl. přenesená",N173,0)</f>
        <v>#REF!</v>
      </c>
      <c r="BM173" s="51" t="e">
        <f>IF(#REF!="sníž. přenesená",N173,0)</f>
        <v>#REF!</v>
      </c>
      <c r="BN173" s="51" t="e">
        <f>IF(#REF!="nulová",N173,0)</f>
        <v>#REF!</v>
      </c>
      <c r="BO173" s="8" t="s">
        <v>56</v>
      </c>
      <c r="BP173" s="51">
        <f t="shared" si="10"/>
        <v>0</v>
      </c>
      <c r="BQ173" s="8" t="s">
        <v>120</v>
      </c>
      <c r="BR173" s="8" t="s">
        <v>176</v>
      </c>
    </row>
    <row r="174" spans="2:70" s="16" customFormat="1" ht="16.5" customHeight="1">
      <c r="B174" s="17"/>
      <c r="C174" s="87">
        <f t="shared" si="12"/>
        <v>36</v>
      </c>
      <c r="D174" s="87" t="s">
        <v>116</v>
      </c>
      <c r="E174" s="88" t="s">
        <v>177</v>
      </c>
      <c r="F174" s="192" t="s">
        <v>178</v>
      </c>
      <c r="G174" s="192"/>
      <c r="H174" s="192"/>
      <c r="I174" s="192"/>
      <c r="J174" s="89" t="s">
        <v>135</v>
      </c>
      <c r="K174" s="90">
        <v>197.9</v>
      </c>
      <c r="L174" s="193"/>
      <c r="M174" s="194"/>
      <c r="N174" s="195">
        <f t="shared" si="9"/>
        <v>0</v>
      </c>
      <c r="O174" s="195"/>
      <c r="P174" s="195"/>
      <c r="Q174" s="195"/>
      <c r="R174" s="19"/>
      <c r="S174" s="111"/>
      <c r="T174" s="111"/>
      <c r="U174" s="111"/>
      <c r="V174" s="111"/>
      <c r="W174" s="111"/>
      <c r="X174" s="111"/>
      <c r="Y174" s="111"/>
      <c r="Z174" s="111"/>
      <c r="AA174" s="111"/>
      <c r="AB174" s="111"/>
      <c r="AC174" s="111"/>
      <c r="AD174" s="111"/>
      <c r="AE174" s="111"/>
      <c r="AF174" s="111"/>
      <c r="AG174" s="111"/>
      <c r="AH174" s="111"/>
      <c r="AI174" s="111"/>
      <c r="AJ174" s="111"/>
      <c r="AK174" s="111"/>
      <c r="AL174" s="111"/>
      <c r="AM174" s="111"/>
      <c r="AN174" s="111"/>
      <c r="AO174" s="111"/>
      <c r="AP174" s="111"/>
      <c r="AQ174" s="111"/>
      <c r="AR174" s="111"/>
      <c r="AS174" s="111"/>
      <c r="AW174" s="8" t="s">
        <v>120</v>
      </c>
      <c r="AY174" s="8" t="s">
        <v>116</v>
      </c>
      <c r="AZ174" s="8" t="s">
        <v>67</v>
      </c>
      <c r="BD174" s="8" t="s">
        <v>115</v>
      </c>
      <c r="BJ174" s="51" t="e">
        <f>IF(#REF!="základní",N174,0)</f>
        <v>#REF!</v>
      </c>
      <c r="BK174" s="51" t="e">
        <f>IF(#REF!="snížená",N174,0)</f>
        <v>#REF!</v>
      </c>
      <c r="BL174" s="51" t="e">
        <f>IF(#REF!="zákl. přenesená",N174,0)</f>
        <v>#REF!</v>
      </c>
      <c r="BM174" s="51" t="e">
        <f>IF(#REF!="sníž. přenesená",N174,0)</f>
        <v>#REF!</v>
      </c>
      <c r="BN174" s="51" t="e">
        <f>IF(#REF!="nulová",N174,0)</f>
        <v>#REF!</v>
      </c>
      <c r="BO174" s="8" t="s">
        <v>56</v>
      </c>
      <c r="BP174" s="51">
        <f t="shared" si="10"/>
        <v>0</v>
      </c>
      <c r="BQ174" s="8" t="s">
        <v>120</v>
      </c>
      <c r="BR174" s="8" t="s">
        <v>179</v>
      </c>
    </row>
    <row r="175" spans="2:70" s="16" customFormat="1" ht="21" customHeight="1">
      <c r="B175" s="17"/>
      <c r="C175" s="97">
        <f t="shared" si="12"/>
        <v>37</v>
      </c>
      <c r="D175" s="97" t="s">
        <v>166</v>
      </c>
      <c r="E175" s="98" t="s">
        <v>180</v>
      </c>
      <c r="F175" s="198" t="s">
        <v>181</v>
      </c>
      <c r="G175" s="198"/>
      <c r="H175" s="198"/>
      <c r="I175" s="198"/>
      <c r="J175" s="99" t="s">
        <v>135</v>
      </c>
      <c r="K175" s="100">
        <v>147.625</v>
      </c>
      <c r="L175" s="193"/>
      <c r="M175" s="194"/>
      <c r="N175" s="199">
        <f t="shared" si="9"/>
        <v>0</v>
      </c>
      <c r="O175" s="195"/>
      <c r="P175" s="195"/>
      <c r="Q175" s="195"/>
      <c r="R175" s="19"/>
      <c r="S175" s="111"/>
      <c r="T175" s="111"/>
      <c r="U175" s="111"/>
      <c r="V175" s="111"/>
      <c r="W175" s="111"/>
      <c r="X175" s="111"/>
      <c r="Y175" s="111"/>
      <c r="Z175" s="111"/>
      <c r="AA175" s="111"/>
      <c r="AB175" s="111"/>
      <c r="AC175" s="111"/>
      <c r="AD175" s="111"/>
      <c r="AE175" s="111"/>
      <c r="AF175" s="111"/>
      <c r="AG175" s="111"/>
      <c r="AH175" s="111"/>
      <c r="AI175" s="111"/>
      <c r="AJ175" s="111"/>
      <c r="AK175" s="111"/>
      <c r="AL175" s="111"/>
      <c r="AM175" s="111"/>
      <c r="AN175" s="111"/>
      <c r="AO175" s="111"/>
      <c r="AP175" s="111"/>
      <c r="AQ175" s="111"/>
      <c r="AR175" s="111"/>
      <c r="AS175" s="111"/>
      <c r="AW175" s="8" t="s">
        <v>134</v>
      </c>
      <c r="AY175" s="8" t="s">
        <v>166</v>
      </c>
      <c r="AZ175" s="8" t="s">
        <v>67</v>
      </c>
      <c r="BD175" s="8" t="s">
        <v>115</v>
      </c>
      <c r="BJ175" s="51" t="e">
        <f>IF(#REF!="základní",N175,0)</f>
        <v>#REF!</v>
      </c>
      <c r="BK175" s="51" t="e">
        <f>IF(#REF!="snížená",N175,0)</f>
        <v>#REF!</v>
      </c>
      <c r="BL175" s="51" t="e">
        <f>IF(#REF!="zákl. přenesená",N175,0)</f>
        <v>#REF!</v>
      </c>
      <c r="BM175" s="51" t="e">
        <f>IF(#REF!="sníž. přenesená",N175,0)</f>
        <v>#REF!</v>
      </c>
      <c r="BN175" s="51" t="e">
        <f>IF(#REF!="nulová",N175,0)</f>
        <v>#REF!</v>
      </c>
      <c r="BO175" s="8" t="s">
        <v>56</v>
      </c>
      <c r="BP175" s="51">
        <f t="shared" si="10"/>
        <v>0</v>
      </c>
      <c r="BQ175" s="8" t="s">
        <v>120</v>
      </c>
      <c r="BR175" s="8" t="s">
        <v>182</v>
      </c>
    </row>
    <row r="176" spans="2:70" s="16" customFormat="1" ht="26.25" customHeight="1">
      <c r="B176" s="17"/>
      <c r="C176" s="97">
        <f t="shared" si="12"/>
        <v>38</v>
      </c>
      <c r="D176" s="97" t="s">
        <v>166</v>
      </c>
      <c r="E176" s="98" t="s">
        <v>183</v>
      </c>
      <c r="F176" s="198" t="s">
        <v>574</v>
      </c>
      <c r="G176" s="198"/>
      <c r="H176" s="198"/>
      <c r="I176" s="198"/>
      <c r="J176" s="99" t="s">
        <v>135</v>
      </c>
      <c r="K176" s="100">
        <v>26.88</v>
      </c>
      <c r="L176" s="193"/>
      <c r="M176" s="194"/>
      <c r="N176" s="199">
        <f t="shared" si="9"/>
        <v>0</v>
      </c>
      <c r="O176" s="195"/>
      <c r="P176" s="195"/>
      <c r="Q176" s="195"/>
      <c r="R176" s="19"/>
      <c r="S176" s="111"/>
      <c r="T176" s="111"/>
      <c r="U176" s="111"/>
      <c r="V176" s="111"/>
      <c r="W176" s="111"/>
      <c r="X176" s="111"/>
      <c r="Y176" s="111"/>
      <c r="Z176" s="111"/>
      <c r="AA176" s="111"/>
      <c r="AB176" s="111"/>
      <c r="AC176" s="111"/>
      <c r="AD176" s="111"/>
      <c r="AE176" s="111"/>
      <c r="AF176" s="111"/>
      <c r="AG176" s="111"/>
      <c r="AH176" s="111"/>
      <c r="AI176" s="111"/>
      <c r="AJ176" s="111"/>
      <c r="AK176" s="111"/>
      <c r="AL176" s="111"/>
      <c r="AM176" s="111"/>
      <c r="AN176" s="111"/>
      <c r="AO176" s="111"/>
      <c r="AP176" s="111"/>
      <c r="AQ176" s="111"/>
      <c r="AR176" s="111"/>
      <c r="AS176" s="111"/>
      <c r="AW176" s="8" t="s">
        <v>134</v>
      </c>
      <c r="AY176" s="8" t="s">
        <v>166</v>
      </c>
      <c r="AZ176" s="8" t="s">
        <v>67</v>
      </c>
      <c r="BD176" s="8" t="s">
        <v>115</v>
      </c>
      <c r="BJ176" s="51" t="e">
        <f>IF(#REF!="základní",N176,0)</f>
        <v>#REF!</v>
      </c>
      <c r="BK176" s="51" t="e">
        <f>IF(#REF!="snížená",N176,0)</f>
        <v>#REF!</v>
      </c>
      <c r="BL176" s="51" t="e">
        <f>IF(#REF!="zákl. přenesená",N176,0)</f>
        <v>#REF!</v>
      </c>
      <c r="BM176" s="51" t="e">
        <f>IF(#REF!="sníž. přenesená",N176,0)</f>
        <v>#REF!</v>
      </c>
      <c r="BN176" s="51" t="e">
        <f>IF(#REF!="nulová",N176,0)</f>
        <v>#REF!</v>
      </c>
      <c r="BO176" s="8" t="s">
        <v>56</v>
      </c>
      <c r="BP176" s="51">
        <f t="shared" si="10"/>
        <v>0</v>
      </c>
      <c r="BQ176" s="8" t="s">
        <v>120</v>
      </c>
      <c r="BR176" s="8" t="s">
        <v>184</v>
      </c>
    </row>
    <row r="177" spans="2:70" s="16" customFormat="1" ht="26.25" customHeight="1">
      <c r="B177" s="17"/>
      <c r="C177" s="97">
        <f t="shared" si="12"/>
        <v>39</v>
      </c>
      <c r="D177" s="97" t="s">
        <v>166</v>
      </c>
      <c r="E177" s="98" t="s">
        <v>186</v>
      </c>
      <c r="F177" s="198" t="s">
        <v>575</v>
      </c>
      <c r="G177" s="198"/>
      <c r="H177" s="198"/>
      <c r="I177" s="198"/>
      <c r="J177" s="99" t="s">
        <v>135</v>
      </c>
      <c r="K177" s="100">
        <v>40.32</v>
      </c>
      <c r="L177" s="193"/>
      <c r="M177" s="194"/>
      <c r="N177" s="199">
        <f t="shared" si="9"/>
        <v>0</v>
      </c>
      <c r="O177" s="195"/>
      <c r="P177" s="195"/>
      <c r="Q177" s="195"/>
      <c r="R177" s="19"/>
      <c r="S177" s="111"/>
      <c r="T177" s="111"/>
      <c r="U177" s="111"/>
      <c r="V177" s="111"/>
      <c r="W177" s="111"/>
      <c r="X177" s="111"/>
      <c r="Y177" s="111"/>
      <c r="Z177" s="111"/>
      <c r="AA177" s="111"/>
      <c r="AB177" s="111"/>
      <c r="AC177" s="111"/>
      <c r="AD177" s="111"/>
      <c r="AE177" s="111"/>
      <c r="AF177" s="111"/>
      <c r="AG177" s="111"/>
      <c r="AH177" s="111"/>
      <c r="AI177" s="111"/>
      <c r="AJ177" s="111"/>
      <c r="AK177" s="111"/>
      <c r="AL177" s="111"/>
      <c r="AM177" s="111"/>
      <c r="AN177" s="111"/>
      <c r="AO177" s="111"/>
      <c r="AP177" s="111"/>
      <c r="AQ177" s="111"/>
      <c r="AR177" s="111"/>
      <c r="AS177" s="111"/>
      <c r="AW177" s="8" t="s">
        <v>134</v>
      </c>
      <c r="AY177" s="8" t="s">
        <v>166</v>
      </c>
      <c r="AZ177" s="8" t="s">
        <v>67</v>
      </c>
      <c r="BD177" s="8" t="s">
        <v>115</v>
      </c>
      <c r="BJ177" s="51" t="e">
        <f>IF(#REF!="základní",N177,0)</f>
        <v>#REF!</v>
      </c>
      <c r="BK177" s="51" t="e">
        <f>IF(#REF!="snížená",N177,0)</f>
        <v>#REF!</v>
      </c>
      <c r="BL177" s="51" t="e">
        <f>IF(#REF!="zákl. přenesená",N177,0)</f>
        <v>#REF!</v>
      </c>
      <c r="BM177" s="51" t="e">
        <f>IF(#REF!="sníž. přenesená",N177,0)</f>
        <v>#REF!</v>
      </c>
      <c r="BN177" s="51" t="e">
        <f>IF(#REF!="nulová",N177,0)</f>
        <v>#REF!</v>
      </c>
      <c r="BO177" s="8" t="s">
        <v>56</v>
      </c>
      <c r="BP177" s="51">
        <f t="shared" si="10"/>
        <v>0</v>
      </c>
      <c r="BQ177" s="8" t="s">
        <v>120</v>
      </c>
      <c r="BR177" s="8" t="s">
        <v>187</v>
      </c>
    </row>
    <row r="178" spans="2:70" s="16" customFormat="1" ht="38.25" customHeight="1">
      <c r="B178" s="17"/>
      <c r="C178" s="87">
        <f t="shared" si="12"/>
        <v>40</v>
      </c>
      <c r="D178" s="87" t="s">
        <v>116</v>
      </c>
      <c r="E178" s="88" t="s">
        <v>577</v>
      </c>
      <c r="F178" s="192" t="s">
        <v>576</v>
      </c>
      <c r="G178" s="192"/>
      <c r="H178" s="192"/>
      <c r="I178" s="192"/>
      <c r="J178" s="89" t="s">
        <v>119</v>
      </c>
      <c r="K178" s="90">
        <v>1357.028</v>
      </c>
      <c r="L178" s="193"/>
      <c r="M178" s="194"/>
      <c r="N178" s="195">
        <f t="shared" si="9"/>
        <v>0</v>
      </c>
      <c r="O178" s="195"/>
      <c r="P178" s="195"/>
      <c r="Q178" s="195"/>
      <c r="R178" s="19"/>
      <c r="S178" s="111"/>
      <c r="T178" s="111"/>
      <c r="U178" s="111"/>
      <c r="V178" s="111"/>
      <c r="W178" s="111"/>
      <c r="X178" s="111"/>
      <c r="Y178" s="111"/>
      <c r="Z178" s="111"/>
      <c r="AA178" s="111"/>
      <c r="AB178" s="111"/>
      <c r="AC178" s="111"/>
      <c r="AD178" s="111"/>
      <c r="AE178" s="111"/>
      <c r="AF178" s="111"/>
      <c r="AG178" s="111"/>
      <c r="AH178" s="111"/>
      <c r="AI178" s="111"/>
      <c r="AJ178" s="111"/>
      <c r="AK178" s="111"/>
      <c r="AL178" s="111"/>
      <c r="AM178" s="111"/>
      <c r="AN178" s="111"/>
      <c r="AO178" s="111"/>
      <c r="AP178" s="111"/>
      <c r="AQ178" s="111"/>
      <c r="AR178" s="111"/>
      <c r="AS178" s="111"/>
      <c r="AW178" s="8" t="s">
        <v>120</v>
      </c>
      <c r="AY178" s="8" t="s">
        <v>116</v>
      </c>
      <c r="AZ178" s="8" t="s">
        <v>67</v>
      </c>
      <c r="BD178" s="8" t="s">
        <v>115</v>
      </c>
      <c r="BJ178" s="51" t="e">
        <f>IF(#REF!="základní",N178,0)</f>
        <v>#REF!</v>
      </c>
      <c r="BK178" s="51" t="e">
        <f>IF(#REF!="snížená",N178,0)</f>
        <v>#REF!</v>
      </c>
      <c r="BL178" s="51" t="e">
        <f>IF(#REF!="zákl. přenesená",N178,0)</f>
        <v>#REF!</v>
      </c>
      <c r="BM178" s="51" t="e">
        <f>IF(#REF!="sníž. přenesená",N178,0)</f>
        <v>#REF!</v>
      </c>
      <c r="BN178" s="51" t="e">
        <f>IF(#REF!="nulová",N178,0)</f>
        <v>#REF!</v>
      </c>
      <c r="BO178" s="8" t="s">
        <v>56</v>
      </c>
      <c r="BP178" s="51">
        <f t="shared" si="10"/>
        <v>0</v>
      </c>
      <c r="BQ178" s="8" t="s">
        <v>120</v>
      </c>
      <c r="BR178" s="8" t="s">
        <v>188</v>
      </c>
    </row>
    <row r="179" spans="2:70" s="16" customFormat="1" ht="38.25" customHeight="1">
      <c r="B179" s="17"/>
      <c r="C179" s="87">
        <f t="shared" si="12"/>
        <v>41</v>
      </c>
      <c r="D179" s="87" t="s">
        <v>116</v>
      </c>
      <c r="E179" s="88" t="s">
        <v>578</v>
      </c>
      <c r="F179" s="192" t="s">
        <v>579</v>
      </c>
      <c r="G179" s="192"/>
      <c r="H179" s="192"/>
      <c r="I179" s="192"/>
      <c r="J179" s="89" t="s">
        <v>119</v>
      </c>
      <c r="K179" s="90">
        <v>56.2</v>
      </c>
      <c r="L179" s="193"/>
      <c r="M179" s="194"/>
      <c r="N179" s="195">
        <f t="shared" si="9"/>
        <v>0</v>
      </c>
      <c r="O179" s="195"/>
      <c r="P179" s="195"/>
      <c r="Q179" s="195"/>
      <c r="R179" s="19"/>
      <c r="S179" s="111"/>
      <c r="T179" s="111"/>
      <c r="U179" s="111"/>
      <c r="V179" s="111"/>
      <c r="W179" s="111"/>
      <c r="X179" s="111"/>
      <c r="Y179" s="111"/>
      <c r="Z179" s="111"/>
      <c r="AA179" s="111"/>
      <c r="AB179" s="111"/>
      <c r="AC179" s="111"/>
      <c r="AD179" s="111"/>
      <c r="AE179" s="111"/>
      <c r="AF179" s="111"/>
      <c r="AG179" s="111"/>
      <c r="AH179" s="111"/>
      <c r="AI179" s="111"/>
      <c r="AJ179" s="111"/>
      <c r="AK179" s="111"/>
      <c r="AL179" s="111"/>
      <c r="AM179" s="111"/>
      <c r="AN179" s="111"/>
      <c r="AO179" s="111"/>
      <c r="AP179" s="111"/>
      <c r="AQ179" s="111"/>
      <c r="AR179" s="111"/>
      <c r="AS179" s="111"/>
      <c r="AW179" s="8" t="s">
        <v>120</v>
      </c>
      <c r="AY179" s="8" t="s">
        <v>116</v>
      </c>
      <c r="AZ179" s="8" t="s">
        <v>67</v>
      </c>
      <c r="BD179" s="8" t="s">
        <v>115</v>
      </c>
      <c r="BJ179" s="51" t="e">
        <f>IF(#REF!="základní",N179,0)</f>
        <v>#REF!</v>
      </c>
      <c r="BK179" s="51" t="e">
        <f>IF(#REF!="snížená",N179,0)</f>
        <v>#REF!</v>
      </c>
      <c r="BL179" s="51" t="e">
        <f>IF(#REF!="zákl. přenesená",N179,0)</f>
        <v>#REF!</v>
      </c>
      <c r="BM179" s="51" t="e">
        <f>IF(#REF!="sníž. přenesená",N179,0)</f>
        <v>#REF!</v>
      </c>
      <c r="BN179" s="51" t="e">
        <f>IF(#REF!="nulová",N179,0)</f>
        <v>#REF!</v>
      </c>
      <c r="BO179" s="8" t="s">
        <v>56</v>
      </c>
      <c r="BP179" s="51">
        <f t="shared" si="10"/>
        <v>0</v>
      </c>
      <c r="BQ179" s="8" t="s">
        <v>120</v>
      </c>
      <c r="BR179" s="8" t="s">
        <v>189</v>
      </c>
    </row>
    <row r="180" spans="2:70" s="16" customFormat="1" ht="38.25" customHeight="1">
      <c r="B180" s="17"/>
      <c r="C180" s="87">
        <f t="shared" si="12"/>
        <v>42</v>
      </c>
      <c r="D180" s="87" t="s">
        <v>116</v>
      </c>
      <c r="E180" s="88" t="s">
        <v>190</v>
      </c>
      <c r="F180" s="192" t="s">
        <v>191</v>
      </c>
      <c r="G180" s="192"/>
      <c r="H180" s="192"/>
      <c r="I180" s="192"/>
      <c r="J180" s="89" t="s">
        <v>135</v>
      </c>
      <c r="K180" s="90">
        <v>170.4</v>
      </c>
      <c r="L180" s="193"/>
      <c r="M180" s="194"/>
      <c r="N180" s="195">
        <f t="shared" si="9"/>
        <v>0</v>
      </c>
      <c r="O180" s="195"/>
      <c r="P180" s="195"/>
      <c r="Q180" s="195"/>
      <c r="R180" s="19"/>
      <c r="S180" s="111"/>
      <c r="T180" s="111"/>
      <c r="U180" s="111"/>
      <c r="V180" s="111"/>
      <c r="W180" s="111"/>
      <c r="X180" s="111"/>
      <c r="Y180" s="111"/>
      <c r="Z180" s="111"/>
      <c r="AA180" s="111"/>
      <c r="AB180" s="111"/>
      <c r="AC180" s="111"/>
      <c r="AD180" s="111"/>
      <c r="AE180" s="111"/>
      <c r="AF180" s="111"/>
      <c r="AG180" s="111"/>
      <c r="AH180" s="111"/>
      <c r="AI180" s="111"/>
      <c r="AJ180" s="111"/>
      <c r="AK180" s="111"/>
      <c r="AL180" s="111"/>
      <c r="AM180" s="111"/>
      <c r="AN180" s="111"/>
      <c r="AO180" s="111"/>
      <c r="AP180" s="111"/>
      <c r="AQ180" s="111"/>
      <c r="AR180" s="111"/>
      <c r="AS180" s="111"/>
      <c r="AW180" s="8" t="s">
        <v>120</v>
      </c>
      <c r="AY180" s="8" t="s">
        <v>116</v>
      </c>
      <c r="AZ180" s="8" t="s">
        <v>67</v>
      </c>
      <c r="BD180" s="8" t="s">
        <v>115</v>
      </c>
      <c r="BJ180" s="51" t="e">
        <f>IF(#REF!="základní",N180,0)</f>
        <v>#REF!</v>
      </c>
      <c r="BK180" s="51" t="e">
        <f>IF(#REF!="snížená",N180,0)</f>
        <v>#REF!</v>
      </c>
      <c r="BL180" s="51" t="e">
        <f>IF(#REF!="zákl. přenesená",N180,0)</f>
        <v>#REF!</v>
      </c>
      <c r="BM180" s="51" t="e">
        <f>IF(#REF!="sníž. přenesená",N180,0)</f>
        <v>#REF!</v>
      </c>
      <c r="BN180" s="51" t="e">
        <f>IF(#REF!="nulová",N180,0)</f>
        <v>#REF!</v>
      </c>
      <c r="BO180" s="8" t="s">
        <v>56</v>
      </c>
      <c r="BP180" s="51">
        <f t="shared" si="10"/>
        <v>0</v>
      </c>
      <c r="BQ180" s="8" t="s">
        <v>120</v>
      </c>
      <c r="BR180" s="8" t="s">
        <v>192</v>
      </c>
    </row>
    <row r="181" spans="2:70" s="16" customFormat="1" ht="25.5" customHeight="1">
      <c r="B181" s="17"/>
      <c r="C181" s="87">
        <f t="shared" si="12"/>
        <v>43</v>
      </c>
      <c r="D181" s="87" t="s">
        <v>116</v>
      </c>
      <c r="E181" s="88" t="s">
        <v>193</v>
      </c>
      <c r="F181" s="192" t="s">
        <v>194</v>
      </c>
      <c r="G181" s="192"/>
      <c r="H181" s="192"/>
      <c r="I181" s="192"/>
      <c r="J181" s="89" t="s">
        <v>135</v>
      </c>
      <c r="K181" s="90">
        <v>258.89999999999998</v>
      </c>
      <c r="L181" s="193"/>
      <c r="M181" s="194"/>
      <c r="N181" s="195">
        <f t="shared" si="9"/>
        <v>0</v>
      </c>
      <c r="O181" s="195"/>
      <c r="P181" s="195"/>
      <c r="Q181" s="195"/>
      <c r="R181" s="19"/>
      <c r="S181" s="111"/>
      <c r="T181" s="111"/>
      <c r="U181" s="111"/>
      <c r="V181" s="111"/>
      <c r="W181" s="111"/>
      <c r="X181" s="111"/>
      <c r="Y181" s="111"/>
      <c r="Z181" s="111"/>
      <c r="AA181" s="111"/>
      <c r="AB181" s="111"/>
      <c r="AC181" s="111"/>
      <c r="AD181" s="111"/>
      <c r="AE181" s="111"/>
      <c r="AF181" s="111"/>
      <c r="AG181" s="111"/>
      <c r="AH181" s="111"/>
      <c r="AI181" s="111"/>
      <c r="AJ181" s="111"/>
      <c r="AK181" s="111"/>
      <c r="AL181" s="111"/>
      <c r="AM181" s="111"/>
      <c r="AN181" s="111"/>
      <c r="AO181" s="111"/>
      <c r="AP181" s="111"/>
      <c r="AQ181" s="111"/>
      <c r="AR181" s="111"/>
      <c r="AS181" s="111"/>
      <c r="AW181" s="8" t="s">
        <v>120</v>
      </c>
      <c r="AY181" s="8" t="s">
        <v>116</v>
      </c>
      <c r="AZ181" s="8" t="s">
        <v>67</v>
      </c>
      <c r="BD181" s="8" t="s">
        <v>115</v>
      </c>
      <c r="BJ181" s="51" t="e">
        <f>IF(#REF!="základní",N181,0)</f>
        <v>#REF!</v>
      </c>
      <c r="BK181" s="51" t="e">
        <f>IF(#REF!="snížená",N181,0)</f>
        <v>#REF!</v>
      </c>
      <c r="BL181" s="51" t="e">
        <f>IF(#REF!="zákl. přenesená",N181,0)</f>
        <v>#REF!</v>
      </c>
      <c r="BM181" s="51" t="e">
        <f>IF(#REF!="sníž. přenesená",N181,0)</f>
        <v>#REF!</v>
      </c>
      <c r="BN181" s="51" t="e">
        <f>IF(#REF!="nulová",N181,0)</f>
        <v>#REF!</v>
      </c>
      <c r="BO181" s="8" t="s">
        <v>56</v>
      </c>
      <c r="BP181" s="51">
        <f t="shared" si="10"/>
        <v>0</v>
      </c>
      <c r="BQ181" s="8" t="s">
        <v>120</v>
      </c>
      <c r="BR181" s="8" t="s">
        <v>195</v>
      </c>
    </row>
    <row r="182" spans="2:70" s="16" customFormat="1" ht="25.5" customHeight="1">
      <c r="B182" s="17"/>
      <c r="C182" s="87">
        <f t="shared" si="12"/>
        <v>44</v>
      </c>
      <c r="D182" s="87" t="s">
        <v>116</v>
      </c>
      <c r="E182" s="88" t="s">
        <v>196</v>
      </c>
      <c r="F182" s="192" t="s">
        <v>197</v>
      </c>
      <c r="G182" s="192"/>
      <c r="H182" s="192"/>
      <c r="I182" s="192"/>
      <c r="J182" s="89" t="s">
        <v>119</v>
      </c>
      <c r="K182" s="90">
        <v>404.8</v>
      </c>
      <c r="L182" s="193"/>
      <c r="M182" s="194"/>
      <c r="N182" s="195">
        <f t="shared" si="9"/>
        <v>0</v>
      </c>
      <c r="O182" s="195"/>
      <c r="P182" s="195"/>
      <c r="Q182" s="195"/>
      <c r="R182" s="19"/>
      <c r="S182" s="111"/>
      <c r="T182" s="111"/>
      <c r="U182" s="111"/>
      <c r="V182" s="111"/>
      <c r="W182" s="111"/>
      <c r="X182" s="111"/>
      <c r="Y182" s="111"/>
      <c r="Z182" s="111"/>
      <c r="AA182" s="111"/>
      <c r="AB182" s="111"/>
      <c r="AC182" s="111"/>
      <c r="AD182" s="111"/>
      <c r="AE182" s="111"/>
      <c r="AF182" s="111"/>
      <c r="AG182" s="111"/>
      <c r="AH182" s="111"/>
      <c r="AI182" s="111"/>
      <c r="AJ182" s="111"/>
      <c r="AK182" s="111"/>
      <c r="AL182" s="111"/>
      <c r="AM182" s="111"/>
      <c r="AN182" s="111"/>
      <c r="AO182" s="111"/>
      <c r="AP182" s="111"/>
      <c r="AQ182" s="111"/>
      <c r="AR182" s="111"/>
      <c r="AS182" s="111"/>
      <c r="AW182" s="8" t="s">
        <v>120</v>
      </c>
      <c r="AY182" s="8" t="s">
        <v>116</v>
      </c>
      <c r="AZ182" s="8" t="s">
        <v>67</v>
      </c>
      <c r="BD182" s="8" t="s">
        <v>115</v>
      </c>
      <c r="BJ182" s="51" t="e">
        <f>IF(#REF!="základní",N182,0)</f>
        <v>#REF!</v>
      </c>
      <c r="BK182" s="51" t="e">
        <f>IF(#REF!="snížená",N182,0)</f>
        <v>#REF!</v>
      </c>
      <c r="BL182" s="51" t="e">
        <f>IF(#REF!="zákl. přenesená",N182,0)</f>
        <v>#REF!</v>
      </c>
      <c r="BM182" s="51" t="e">
        <f>IF(#REF!="sníž. přenesená",N182,0)</f>
        <v>#REF!</v>
      </c>
      <c r="BN182" s="51" t="e">
        <f>IF(#REF!="nulová",N182,0)</f>
        <v>#REF!</v>
      </c>
      <c r="BO182" s="8" t="s">
        <v>56</v>
      </c>
      <c r="BP182" s="51">
        <f t="shared" si="10"/>
        <v>0</v>
      </c>
      <c r="BQ182" s="8" t="s">
        <v>120</v>
      </c>
      <c r="BR182" s="8" t="s">
        <v>198</v>
      </c>
    </row>
    <row r="183" spans="2:70" s="16" customFormat="1" ht="16.5" customHeight="1">
      <c r="B183" s="17"/>
      <c r="C183" s="87">
        <f t="shared" si="12"/>
        <v>45</v>
      </c>
      <c r="D183" s="87" t="s">
        <v>116</v>
      </c>
      <c r="E183" s="88" t="s">
        <v>199</v>
      </c>
      <c r="F183" s="192" t="s">
        <v>200</v>
      </c>
      <c r="G183" s="192"/>
      <c r="H183" s="192"/>
      <c r="I183" s="192"/>
      <c r="J183" s="89" t="s">
        <v>119</v>
      </c>
      <c r="K183" s="90">
        <v>1498.664</v>
      </c>
      <c r="L183" s="193"/>
      <c r="M183" s="194"/>
      <c r="N183" s="195">
        <f t="shared" si="9"/>
        <v>0</v>
      </c>
      <c r="O183" s="195"/>
      <c r="P183" s="195"/>
      <c r="Q183" s="195"/>
      <c r="R183" s="19"/>
      <c r="S183" s="111"/>
      <c r="T183" s="111"/>
      <c r="U183" s="111"/>
      <c r="V183" s="111"/>
      <c r="W183" s="111"/>
      <c r="X183" s="111"/>
      <c r="Y183" s="111"/>
      <c r="Z183" s="111"/>
      <c r="AA183" s="111"/>
      <c r="AB183" s="111"/>
      <c r="AC183" s="111"/>
      <c r="AD183" s="111"/>
      <c r="AE183" s="111"/>
      <c r="AF183" s="111"/>
      <c r="AG183" s="111"/>
      <c r="AH183" s="111"/>
      <c r="AI183" s="111"/>
      <c r="AJ183" s="111"/>
      <c r="AK183" s="111"/>
      <c r="AL183" s="111"/>
      <c r="AM183" s="111"/>
      <c r="AN183" s="111"/>
      <c r="AO183" s="111"/>
      <c r="AP183" s="111"/>
      <c r="AQ183" s="111"/>
      <c r="AR183" s="111"/>
      <c r="AS183" s="111"/>
      <c r="AW183" s="8" t="s">
        <v>120</v>
      </c>
      <c r="AY183" s="8" t="s">
        <v>116</v>
      </c>
      <c r="AZ183" s="8" t="s">
        <v>67</v>
      </c>
      <c r="BD183" s="8" t="s">
        <v>115</v>
      </c>
      <c r="BJ183" s="51" t="e">
        <f>IF(#REF!="základní",N183,0)</f>
        <v>#REF!</v>
      </c>
      <c r="BK183" s="51" t="e">
        <f>IF(#REF!="snížená",N183,0)</f>
        <v>#REF!</v>
      </c>
      <c r="BL183" s="51" t="e">
        <f>IF(#REF!="zákl. přenesená",N183,0)</f>
        <v>#REF!</v>
      </c>
      <c r="BM183" s="51" t="e">
        <f>IF(#REF!="sníž. přenesená",N183,0)</f>
        <v>#REF!</v>
      </c>
      <c r="BN183" s="51" t="e">
        <f>IF(#REF!="nulová",N183,0)</f>
        <v>#REF!</v>
      </c>
      <c r="BO183" s="8" t="s">
        <v>56</v>
      </c>
      <c r="BP183" s="51">
        <f t="shared" si="10"/>
        <v>0</v>
      </c>
      <c r="BQ183" s="8" t="s">
        <v>120</v>
      </c>
      <c r="BR183" s="8" t="s">
        <v>201</v>
      </c>
    </row>
    <row r="184" spans="2:70" s="16" customFormat="1" ht="25.5" customHeight="1">
      <c r="B184" s="17"/>
      <c r="C184" s="87">
        <f t="shared" si="12"/>
        <v>46</v>
      </c>
      <c r="D184" s="87" t="s">
        <v>116</v>
      </c>
      <c r="E184" s="88" t="s">
        <v>202</v>
      </c>
      <c r="F184" s="192" t="s">
        <v>203</v>
      </c>
      <c r="G184" s="192"/>
      <c r="H184" s="192"/>
      <c r="I184" s="192"/>
      <c r="J184" s="89" t="s">
        <v>119</v>
      </c>
      <c r="K184" s="90">
        <v>13.2</v>
      </c>
      <c r="L184" s="193"/>
      <c r="M184" s="194"/>
      <c r="N184" s="195">
        <f t="shared" si="9"/>
        <v>0</v>
      </c>
      <c r="O184" s="195"/>
      <c r="P184" s="195"/>
      <c r="Q184" s="195"/>
      <c r="R184" s="19"/>
      <c r="S184" s="111"/>
      <c r="T184" s="111"/>
      <c r="U184" s="111"/>
      <c r="V184" s="111"/>
      <c r="W184" s="111"/>
      <c r="X184" s="111"/>
      <c r="Y184" s="111"/>
      <c r="Z184" s="111"/>
      <c r="AA184" s="111"/>
      <c r="AB184" s="111"/>
      <c r="AC184" s="111"/>
      <c r="AD184" s="111"/>
      <c r="AE184" s="111"/>
      <c r="AF184" s="111"/>
      <c r="AG184" s="111"/>
      <c r="AH184" s="111"/>
      <c r="AI184" s="111"/>
      <c r="AJ184" s="111"/>
      <c r="AK184" s="111"/>
      <c r="AL184" s="111"/>
      <c r="AM184" s="111"/>
      <c r="AN184" s="111"/>
      <c r="AO184" s="111"/>
      <c r="AP184" s="111"/>
      <c r="AQ184" s="111"/>
      <c r="AR184" s="111"/>
      <c r="AS184" s="111"/>
      <c r="AW184" s="8" t="s">
        <v>120</v>
      </c>
      <c r="AY184" s="8" t="s">
        <v>116</v>
      </c>
      <c r="AZ184" s="8" t="s">
        <v>67</v>
      </c>
      <c r="BD184" s="8" t="s">
        <v>115</v>
      </c>
      <c r="BJ184" s="51" t="e">
        <f>IF(#REF!="základní",N184,0)</f>
        <v>#REF!</v>
      </c>
      <c r="BK184" s="51" t="e">
        <f>IF(#REF!="snížená",N184,0)</f>
        <v>#REF!</v>
      </c>
      <c r="BL184" s="51" t="e">
        <f>IF(#REF!="zákl. přenesená",N184,0)</f>
        <v>#REF!</v>
      </c>
      <c r="BM184" s="51" t="e">
        <f>IF(#REF!="sníž. přenesená",N184,0)</f>
        <v>#REF!</v>
      </c>
      <c r="BN184" s="51" t="e">
        <f>IF(#REF!="nulová",N184,0)</f>
        <v>#REF!</v>
      </c>
      <c r="BO184" s="8" t="s">
        <v>56</v>
      </c>
      <c r="BP184" s="51">
        <f t="shared" si="10"/>
        <v>0</v>
      </c>
      <c r="BQ184" s="8" t="s">
        <v>120</v>
      </c>
      <c r="BR184" s="8" t="s">
        <v>204</v>
      </c>
    </row>
    <row r="185" spans="2:70" s="16" customFormat="1" ht="38.25" customHeight="1">
      <c r="B185" s="17"/>
      <c r="C185" s="87">
        <f t="shared" si="12"/>
        <v>47</v>
      </c>
      <c r="D185" s="87" t="s">
        <v>116</v>
      </c>
      <c r="E185" s="88" t="s">
        <v>205</v>
      </c>
      <c r="F185" s="192" t="s">
        <v>206</v>
      </c>
      <c r="G185" s="192"/>
      <c r="H185" s="192"/>
      <c r="I185" s="192"/>
      <c r="J185" s="89" t="s">
        <v>119</v>
      </c>
      <c r="K185" s="90">
        <v>153.21</v>
      </c>
      <c r="L185" s="193"/>
      <c r="M185" s="194"/>
      <c r="N185" s="195">
        <f t="shared" si="9"/>
        <v>0</v>
      </c>
      <c r="O185" s="195"/>
      <c r="P185" s="195"/>
      <c r="Q185" s="195"/>
      <c r="R185" s="19"/>
      <c r="S185" s="111"/>
      <c r="T185" s="111"/>
      <c r="U185" s="111"/>
      <c r="V185" s="111"/>
      <c r="W185" s="111"/>
      <c r="X185" s="111"/>
      <c r="Y185" s="111"/>
      <c r="Z185" s="111"/>
      <c r="AA185" s="111"/>
      <c r="AB185" s="111"/>
      <c r="AC185" s="111"/>
      <c r="AD185" s="111"/>
      <c r="AE185" s="111"/>
      <c r="AF185" s="111"/>
      <c r="AG185" s="111"/>
      <c r="AH185" s="111"/>
      <c r="AI185" s="111"/>
      <c r="AJ185" s="111"/>
      <c r="AK185" s="111"/>
      <c r="AL185" s="111"/>
      <c r="AM185" s="111"/>
      <c r="AN185" s="111"/>
      <c r="AO185" s="111"/>
      <c r="AP185" s="111"/>
      <c r="AQ185" s="111"/>
      <c r="AR185" s="111"/>
      <c r="AS185" s="111"/>
      <c r="AW185" s="8" t="s">
        <v>120</v>
      </c>
      <c r="AY185" s="8" t="s">
        <v>116</v>
      </c>
      <c r="AZ185" s="8" t="s">
        <v>67</v>
      </c>
      <c r="BD185" s="8" t="s">
        <v>115</v>
      </c>
      <c r="BJ185" s="51" t="e">
        <f>IF(#REF!="základní",N185,0)</f>
        <v>#REF!</v>
      </c>
      <c r="BK185" s="51" t="e">
        <f>IF(#REF!="snížená",N185,0)</f>
        <v>#REF!</v>
      </c>
      <c r="BL185" s="51" t="e">
        <f>IF(#REF!="zákl. přenesená",N185,0)</f>
        <v>#REF!</v>
      </c>
      <c r="BM185" s="51" t="e">
        <f>IF(#REF!="sníž. přenesená",N185,0)</f>
        <v>#REF!</v>
      </c>
      <c r="BN185" s="51" t="e">
        <f>IF(#REF!="nulová",N185,0)</f>
        <v>#REF!</v>
      </c>
      <c r="BO185" s="8" t="s">
        <v>56</v>
      </c>
      <c r="BP185" s="51">
        <f t="shared" si="10"/>
        <v>0</v>
      </c>
      <c r="BQ185" s="8" t="s">
        <v>120</v>
      </c>
      <c r="BR185" s="8" t="s">
        <v>207</v>
      </c>
    </row>
    <row r="186" spans="2:70" s="16" customFormat="1" ht="25.5" customHeight="1">
      <c r="B186" s="17"/>
      <c r="C186" s="87">
        <f t="shared" si="12"/>
        <v>48</v>
      </c>
      <c r="D186" s="87" t="s">
        <v>116</v>
      </c>
      <c r="E186" s="88" t="s">
        <v>208</v>
      </c>
      <c r="F186" s="192" t="s">
        <v>209</v>
      </c>
      <c r="G186" s="192"/>
      <c r="H186" s="192"/>
      <c r="I186" s="192"/>
      <c r="J186" s="89" t="s">
        <v>135</v>
      </c>
      <c r="K186" s="90">
        <v>198.5</v>
      </c>
      <c r="L186" s="193"/>
      <c r="M186" s="194"/>
      <c r="N186" s="195">
        <f t="shared" si="9"/>
        <v>0</v>
      </c>
      <c r="O186" s="195"/>
      <c r="P186" s="195"/>
      <c r="Q186" s="195"/>
      <c r="R186" s="19"/>
      <c r="S186" s="111"/>
      <c r="T186" s="111"/>
      <c r="U186" s="111"/>
      <c r="V186" s="111"/>
      <c r="W186" s="111"/>
      <c r="X186" s="111"/>
      <c r="Y186" s="111"/>
      <c r="Z186" s="111"/>
      <c r="AA186" s="111"/>
      <c r="AB186" s="111"/>
      <c r="AC186" s="111"/>
      <c r="AD186" s="111"/>
      <c r="AE186" s="111"/>
      <c r="AF186" s="111"/>
      <c r="AG186" s="111"/>
      <c r="AH186" s="111"/>
      <c r="AI186" s="111"/>
      <c r="AJ186" s="111"/>
      <c r="AK186" s="111"/>
      <c r="AL186" s="111"/>
      <c r="AM186" s="111"/>
      <c r="AN186" s="111"/>
      <c r="AO186" s="111"/>
      <c r="AP186" s="111"/>
      <c r="AQ186" s="111"/>
      <c r="AR186" s="111"/>
      <c r="AS186" s="111"/>
      <c r="AW186" s="8" t="s">
        <v>120</v>
      </c>
      <c r="AY186" s="8" t="s">
        <v>116</v>
      </c>
      <c r="AZ186" s="8" t="s">
        <v>67</v>
      </c>
      <c r="BD186" s="8" t="s">
        <v>115</v>
      </c>
      <c r="BJ186" s="51" t="e">
        <f>IF(#REF!="základní",N186,0)</f>
        <v>#REF!</v>
      </c>
      <c r="BK186" s="51" t="e">
        <f>IF(#REF!="snížená",N186,0)</f>
        <v>#REF!</v>
      </c>
      <c r="BL186" s="51" t="e">
        <f>IF(#REF!="zákl. přenesená",N186,0)</f>
        <v>#REF!</v>
      </c>
      <c r="BM186" s="51" t="e">
        <f>IF(#REF!="sníž. přenesená",N186,0)</f>
        <v>#REF!</v>
      </c>
      <c r="BN186" s="51" t="e">
        <f>IF(#REF!="nulová",N186,0)</f>
        <v>#REF!</v>
      </c>
      <c r="BO186" s="8" t="s">
        <v>56</v>
      </c>
      <c r="BP186" s="51">
        <f t="shared" si="10"/>
        <v>0</v>
      </c>
      <c r="BQ186" s="8" t="s">
        <v>120</v>
      </c>
      <c r="BR186" s="8" t="s">
        <v>210</v>
      </c>
    </row>
    <row r="187" spans="2:70" s="16" customFormat="1" ht="38.25" customHeight="1">
      <c r="B187" s="17"/>
      <c r="C187" s="87">
        <f t="shared" si="12"/>
        <v>49</v>
      </c>
      <c r="D187" s="87" t="s">
        <v>116</v>
      </c>
      <c r="E187" s="88" t="s">
        <v>580</v>
      </c>
      <c r="F187" s="192" t="s">
        <v>468</v>
      </c>
      <c r="G187" s="192"/>
      <c r="H187" s="192"/>
      <c r="I187" s="192"/>
      <c r="J187" s="89" t="s">
        <v>119</v>
      </c>
      <c r="K187" s="90">
        <v>89</v>
      </c>
      <c r="L187" s="193"/>
      <c r="M187" s="194"/>
      <c r="N187" s="195">
        <f t="shared" ref="N187:N188" si="15">ROUND(L187*K187,2)</f>
        <v>0</v>
      </c>
      <c r="O187" s="195"/>
      <c r="P187" s="195"/>
      <c r="Q187" s="195"/>
      <c r="R187" s="19"/>
      <c r="S187" s="111"/>
      <c r="T187" s="111"/>
      <c r="U187" s="111"/>
      <c r="V187" s="111"/>
      <c r="W187" s="111"/>
      <c r="X187" s="111"/>
      <c r="Y187" s="111"/>
      <c r="Z187" s="111"/>
      <c r="AA187" s="111"/>
      <c r="AB187" s="111"/>
      <c r="AC187" s="111"/>
      <c r="AD187" s="111"/>
      <c r="AE187" s="111"/>
      <c r="AF187" s="111"/>
      <c r="AG187" s="111"/>
      <c r="AH187" s="111"/>
      <c r="AI187" s="111"/>
      <c r="AJ187" s="111"/>
      <c r="AK187" s="111"/>
      <c r="AL187" s="111"/>
      <c r="AM187" s="111"/>
      <c r="AN187" s="111"/>
      <c r="AO187" s="111"/>
      <c r="AP187" s="111"/>
      <c r="AQ187" s="111"/>
      <c r="AR187" s="111"/>
      <c r="AS187" s="111"/>
      <c r="AW187" s="8" t="s">
        <v>120</v>
      </c>
      <c r="AY187" s="8" t="s">
        <v>116</v>
      </c>
      <c r="AZ187" s="8" t="s">
        <v>67</v>
      </c>
      <c r="BD187" s="8" t="s">
        <v>115</v>
      </c>
      <c r="BJ187" s="51" t="e">
        <f>IF(#REF!="základní",N187,0)</f>
        <v>#REF!</v>
      </c>
      <c r="BK187" s="51" t="e">
        <f>IF(#REF!="snížená",N187,0)</f>
        <v>#REF!</v>
      </c>
      <c r="BL187" s="51" t="e">
        <f>IF(#REF!="zákl. přenesená",N187,0)</f>
        <v>#REF!</v>
      </c>
      <c r="BM187" s="51" t="e">
        <f>IF(#REF!="sníž. přenesená",N187,0)</f>
        <v>#REF!</v>
      </c>
      <c r="BN187" s="51" t="e">
        <f>IF(#REF!="nulová",N187,0)</f>
        <v>#REF!</v>
      </c>
      <c r="BO187" s="8" t="s">
        <v>56</v>
      </c>
      <c r="BP187" s="51">
        <f t="shared" si="10"/>
        <v>0</v>
      </c>
      <c r="BQ187" s="8" t="s">
        <v>120</v>
      </c>
      <c r="BR187" s="8" t="s">
        <v>163</v>
      </c>
    </row>
    <row r="188" spans="2:70" s="16" customFormat="1" ht="25.5" customHeight="1">
      <c r="B188" s="17"/>
      <c r="C188" s="97">
        <f t="shared" si="12"/>
        <v>50</v>
      </c>
      <c r="D188" s="97" t="s">
        <v>166</v>
      </c>
      <c r="E188" s="98" t="s">
        <v>475</v>
      </c>
      <c r="F188" s="198" t="s">
        <v>467</v>
      </c>
      <c r="G188" s="198"/>
      <c r="H188" s="198"/>
      <c r="I188" s="198"/>
      <c r="J188" s="99" t="s">
        <v>119</v>
      </c>
      <c r="K188" s="100">
        <f>+K187*1.1</f>
        <v>97.9</v>
      </c>
      <c r="L188" s="193"/>
      <c r="M188" s="194"/>
      <c r="N188" s="199">
        <f t="shared" si="15"/>
        <v>0</v>
      </c>
      <c r="O188" s="195"/>
      <c r="P188" s="195"/>
      <c r="Q188" s="195"/>
      <c r="R188" s="19"/>
      <c r="S188" s="111"/>
      <c r="T188" s="111"/>
      <c r="U188" s="111"/>
      <c r="V188" s="111"/>
      <c r="W188" s="111"/>
      <c r="X188" s="111"/>
      <c r="Y188" s="111"/>
      <c r="Z188" s="111"/>
      <c r="AA188" s="111"/>
      <c r="AB188" s="111"/>
      <c r="AC188" s="111"/>
      <c r="AD188" s="111"/>
      <c r="AE188" s="111"/>
      <c r="AF188" s="111"/>
      <c r="AG188" s="111"/>
      <c r="AH188" s="111"/>
      <c r="AI188" s="111"/>
      <c r="AJ188" s="111"/>
      <c r="AK188" s="111"/>
      <c r="AL188" s="111"/>
      <c r="AM188" s="111"/>
      <c r="AN188" s="111"/>
      <c r="AO188" s="111"/>
      <c r="AP188" s="111"/>
      <c r="AQ188" s="111"/>
      <c r="AR188" s="111"/>
      <c r="AS188" s="111"/>
      <c r="AW188" s="8" t="s">
        <v>134</v>
      </c>
      <c r="AY188" s="8" t="s">
        <v>166</v>
      </c>
      <c r="AZ188" s="8" t="s">
        <v>67</v>
      </c>
      <c r="BD188" s="8" t="s">
        <v>115</v>
      </c>
      <c r="BJ188" s="51" t="e">
        <f>IF(#REF!="základní",N188,0)</f>
        <v>#REF!</v>
      </c>
      <c r="BK188" s="51" t="e">
        <f>IF(#REF!="snížená",N188,0)</f>
        <v>#REF!</v>
      </c>
      <c r="BL188" s="51" t="e">
        <f>IF(#REF!="zákl. přenesená",N188,0)</f>
        <v>#REF!</v>
      </c>
      <c r="BM188" s="51" t="e">
        <f>IF(#REF!="sníž. přenesená",N188,0)</f>
        <v>#REF!</v>
      </c>
      <c r="BN188" s="51" t="e">
        <f>IF(#REF!="nulová",N188,0)</f>
        <v>#REF!</v>
      </c>
      <c r="BO188" s="8" t="s">
        <v>56</v>
      </c>
      <c r="BP188" s="51">
        <f t="shared" si="10"/>
        <v>0</v>
      </c>
      <c r="BQ188" s="8" t="s">
        <v>120</v>
      </c>
      <c r="BR188" s="8" t="s">
        <v>167</v>
      </c>
    </row>
    <row r="189" spans="2:70" s="16" customFormat="1" ht="38.25" customHeight="1">
      <c r="B189" s="17"/>
      <c r="C189" s="87">
        <f t="shared" si="12"/>
        <v>51</v>
      </c>
      <c r="D189" s="87" t="s">
        <v>116</v>
      </c>
      <c r="E189" s="88" t="s">
        <v>584</v>
      </c>
      <c r="F189" s="192" t="s">
        <v>585</v>
      </c>
      <c r="G189" s="192"/>
      <c r="H189" s="192"/>
      <c r="I189" s="192"/>
      <c r="J189" s="89" t="s">
        <v>119</v>
      </c>
      <c r="K189" s="90">
        <f>+K187</f>
        <v>89</v>
      </c>
      <c r="L189" s="193"/>
      <c r="M189" s="194"/>
      <c r="N189" s="195">
        <f t="shared" ref="N189:N194" si="16">ROUND(L189*K189,2)</f>
        <v>0</v>
      </c>
      <c r="O189" s="195"/>
      <c r="P189" s="195"/>
      <c r="Q189" s="195"/>
      <c r="R189" s="19"/>
      <c r="S189" s="111"/>
      <c r="T189" s="111"/>
      <c r="U189" s="111"/>
      <c r="V189" s="111"/>
      <c r="W189" s="111"/>
      <c r="X189" s="111"/>
      <c r="Y189" s="111"/>
      <c r="Z189" s="111"/>
      <c r="AA189" s="111"/>
      <c r="AB189" s="111"/>
      <c r="AC189" s="111"/>
      <c r="AD189" s="111"/>
      <c r="AE189" s="111"/>
      <c r="AF189" s="111"/>
      <c r="AG189" s="111"/>
      <c r="AH189" s="111"/>
      <c r="AI189" s="111"/>
      <c r="AJ189" s="111"/>
      <c r="AK189" s="111"/>
      <c r="AL189" s="111"/>
      <c r="AM189" s="111"/>
      <c r="AN189" s="111"/>
      <c r="AO189" s="111"/>
      <c r="AP189" s="111"/>
      <c r="AQ189" s="111"/>
      <c r="AR189" s="111"/>
      <c r="AS189" s="111"/>
      <c r="AW189" s="8" t="s">
        <v>120</v>
      </c>
      <c r="AY189" s="8" t="s">
        <v>116</v>
      </c>
      <c r="AZ189" s="8" t="s">
        <v>67</v>
      </c>
      <c r="BD189" s="8" t="s">
        <v>115</v>
      </c>
      <c r="BJ189" s="51" t="e">
        <f>IF(#REF!="základní",N189,0)</f>
        <v>#REF!</v>
      </c>
      <c r="BK189" s="51" t="e">
        <f>IF(#REF!="snížená",N189,0)</f>
        <v>#REF!</v>
      </c>
      <c r="BL189" s="51" t="e">
        <f>IF(#REF!="zákl. přenesená",N189,0)</f>
        <v>#REF!</v>
      </c>
      <c r="BM189" s="51" t="e">
        <f>IF(#REF!="sníž. přenesená",N189,0)</f>
        <v>#REF!</v>
      </c>
      <c r="BN189" s="51" t="e">
        <f>IF(#REF!="nulová",N189,0)</f>
        <v>#REF!</v>
      </c>
      <c r="BO189" s="8" t="s">
        <v>56</v>
      </c>
      <c r="BP189" s="51">
        <f t="shared" si="10"/>
        <v>0</v>
      </c>
      <c r="BQ189" s="8" t="s">
        <v>120</v>
      </c>
      <c r="BR189" s="8" t="s">
        <v>168</v>
      </c>
    </row>
    <row r="190" spans="2:70" s="16" customFormat="1" ht="38.25" customHeight="1">
      <c r="B190" s="17"/>
      <c r="C190" s="87">
        <f t="shared" si="12"/>
        <v>52</v>
      </c>
      <c r="D190" s="87" t="s">
        <v>116</v>
      </c>
      <c r="E190" s="88" t="s">
        <v>581</v>
      </c>
      <c r="F190" s="192" t="s">
        <v>472</v>
      </c>
      <c r="G190" s="192"/>
      <c r="H190" s="192"/>
      <c r="I190" s="192"/>
      <c r="J190" s="89" t="s">
        <v>119</v>
      </c>
      <c r="K190" s="90">
        <f>89*2.5</f>
        <v>222.5</v>
      </c>
      <c r="L190" s="193"/>
      <c r="M190" s="194"/>
      <c r="N190" s="195">
        <f t="shared" si="16"/>
        <v>0</v>
      </c>
      <c r="O190" s="195"/>
      <c r="P190" s="195"/>
      <c r="Q190" s="195"/>
      <c r="R190" s="19"/>
      <c r="S190" s="111"/>
      <c r="T190" s="111"/>
      <c r="U190" s="111"/>
      <c r="V190" s="111"/>
      <c r="W190" s="111"/>
      <c r="X190" s="111"/>
      <c r="Y190" s="111"/>
      <c r="Z190" s="111"/>
      <c r="AA190" s="111"/>
      <c r="AB190" s="111"/>
      <c r="AC190" s="111"/>
      <c r="AD190" s="111"/>
      <c r="AE190" s="111"/>
      <c r="AF190" s="111"/>
      <c r="AG190" s="111"/>
      <c r="AH190" s="111"/>
      <c r="AI190" s="111"/>
      <c r="AJ190" s="111"/>
      <c r="AK190" s="111"/>
      <c r="AL190" s="111"/>
      <c r="AM190" s="111"/>
      <c r="AN190" s="111"/>
      <c r="AO190" s="111"/>
      <c r="AP190" s="111"/>
      <c r="AQ190" s="111"/>
      <c r="AR190" s="111"/>
      <c r="AS190" s="111"/>
      <c r="AW190" s="8" t="s">
        <v>120</v>
      </c>
      <c r="AY190" s="8" t="s">
        <v>116</v>
      </c>
      <c r="AZ190" s="8" t="s">
        <v>67</v>
      </c>
      <c r="BD190" s="8" t="s">
        <v>115</v>
      </c>
      <c r="BJ190" s="51" t="e">
        <f>IF(#REF!="základní",N190,0)</f>
        <v>#REF!</v>
      </c>
      <c r="BK190" s="51" t="e">
        <f>IF(#REF!="snížená",N190,0)</f>
        <v>#REF!</v>
      </c>
      <c r="BL190" s="51" t="e">
        <f>IF(#REF!="zákl. přenesená",N190,0)</f>
        <v>#REF!</v>
      </c>
      <c r="BM190" s="51" t="e">
        <f>IF(#REF!="sníž. přenesená",N190,0)</f>
        <v>#REF!</v>
      </c>
      <c r="BN190" s="51" t="e">
        <f>IF(#REF!="nulová",N190,0)</f>
        <v>#REF!</v>
      </c>
      <c r="BO190" s="8" t="s">
        <v>56</v>
      </c>
      <c r="BP190" s="51">
        <f t="shared" si="10"/>
        <v>0</v>
      </c>
      <c r="BQ190" s="8" t="s">
        <v>120</v>
      </c>
      <c r="BR190" s="8" t="s">
        <v>168</v>
      </c>
    </row>
    <row r="191" spans="2:70" s="16" customFormat="1" ht="38.25" customHeight="1">
      <c r="B191" s="17"/>
      <c r="C191" s="87">
        <f t="shared" si="12"/>
        <v>53</v>
      </c>
      <c r="D191" s="87" t="s">
        <v>116</v>
      </c>
      <c r="E191" s="88" t="s">
        <v>582</v>
      </c>
      <c r="F191" s="192" t="s">
        <v>583</v>
      </c>
      <c r="G191" s="192"/>
      <c r="H191" s="192"/>
      <c r="I191" s="192"/>
      <c r="J191" s="89" t="s">
        <v>119</v>
      </c>
      <c r="K191" s="90">
        <f>89*2.5</f>
        <v>222.5</v>
      </c>
      <c r="L191" s="193"/>
      <c r="M191" s="194"/>
      <c r="N191" s="195">
        <f t="shared" si="16"/>
        <v>0</v>
      </c>
      <c r="O191" s="195"/>
      <c r="P191" s="195"/>
      <c r="Q191" s="195"/>
      <c r="R191" s="19"/>
      <c r="S191" s="111"/>
      <c r="T191" s="111"/>
      <c r="U191" s="111"/>
      <c r="V191" s="111"/>
      <c r="W191" s="111"/>
      <c r="X191" s="111"/>
      <c r="Y191" s="111"/>
      <c r="Z191" s="111"/>
      <c r="AA191" s="111"/>
      <c r="AB191" s="111"/>
      <c r="AC191" s="111"/>
      <c r="AD191" s="111"/>
      <c r="AE191" s="111"/>
      <c r="AF191" s="111"/>
      <c r="AG191" s="111"/>
      <c r="AH191" s="111"/>
      <c r="AI191" s="111"/>
      <c r="AJ191" s="111"/>
      <c r="AK191" s="111"/>
      <c r="AL191" s="111"/>
      <c r="AM191" s="111"/>
      <c r="AN191" s="111"/>
      <c r="AO191" s="111"/>
      <c r="AP191" s="111"/>
      <c r="AQ191" s="111"/>
      <c r="AR191" s="111"/>
      <c r="AS191" s="111"/>
      <c r="AW191" s="8" t="s">
        <v>120</v>
      </c>
      <c r="AY191" s="8" t="s">
        <v>116</v>
      </c>
      <c r="AZ191" s="8" t="s">
        <v>67</v>
      </c>
      <c r="BD191" s="8" t="s">
        <v>115</v>
      </c>
      <c r="BJ191" s="51" t="e">
        <f>IF(#REF!="základní",N191,0)</f>
        <v>#REF!</v>
      </c>
      <c r="BK191" s="51" t="e">
        <f>IF(#REF!="snížená",N191,0)</f>
        <v>#REF!</v>
      </c>
      <c r="BL191" s="51" t="e">
        <f>IF(#REF!="zákl. přenesená",N191,0)</f>
        <v>#REF!</v>
      </c>
      <c r="BM191" s="51" t="e">
        <f>IF(#REF!="sníž. přenesená",N191,0)</f>
        <v>#REF!</v>
      </c>
      <c r="BN191" s="51" t="e">
        <f>IF(#REF!="nulová",N191,0)</f>
        <v>#REF!</v>
      </c>
      <c r="BO191" s="8" t="s">
        <v>56</v>
      </c>
      <c r="BP191" s="51">
        <f t="shared" si="10"/>
        <v>0</v>
      </c>
      <c r="BQ191" s="8" t="s">
        <v>120</v>
      </c>
      <c r="BR191" s="8" t="s">
        <v>168</v>
      </c>
    </row>
    <row r="192" spans="2:70" s="16" customFormat="1" ht="38.25" customHeight="1">
      <c r="B192" s="17"/>
      <c r="C192" s="87">
        <f t="shared" si="12"/>
        <v>54</v>
      </c>
      <c r="D192" s="87" t="s">
        <v>116</v>
      </c>
      <c r="E192" s="88" t="s">
        <v>473</v>
      </c>
      <c r="F192" s="192" t="s">
        <v>474</v>
      </c>
      <c r="G192" s="192"/>
      <c r="H192" s="192"/>
      <c r="I192" s="192"/>
      <c r="J192" s="89" t="s">
        <v>119</v>
      </c>
      <c r="K192" s="90">
        <f>+K190*2.5</f>
        <v>556.25</v>
      </c>
      <c r="L192" s="193"/>
      <c r="M192" s="194"/>
      <c r="N192" s="195">
        <f t="shared" si="16"/>
        <v>0</v>
      </c>
      <c r="O192" s="195"/>
      <c r="P192" s="195"/>
      <c r="Q192" s="195"/>
      <c r="R192" s="19"/>
      <c r="S192" s="111"/>
      <c r="T192" s="111"/>
      <c r="U192" s="111"/>
      <c r="V192" s="111"/>
      <c r="W192" s="111"/>
      <c r="X192" s="111"/>
      <c r="Y192" s="111"/>
      <c r="Z192" s="111"/>
      <c r="AA192" s="111"/>
      <c r="AB192" s="111"/>
      <c r="AC192" s="111"/>
      <c r="AD192" s="111"/>
      <c r="AE192" s="111"/>
      <c r="AF192" s="111"/>
      <c r="AG192" s="111"/>
      <c r="AH192" s="111"/>
      <c r="AI192" s="111"/>
      <c r="AJ192" s="111"/>
      <c r="AK192" s="111"/>
      <c r="AL192" s="111"/>
      <c r="AM192" s="111"/>
      <c r="AN192" s="111"/>
      <c r="AO192" s="111"/>
      <c r="AP192" s="111"/>
      <c r="AQ192" s="111"/>
      <c r="AR192" s="111"/>
      <c r="AS192" s="111"/>
      <c r="AW192" s="8" t="s">
        <v>120</v>
      </c>
      <c r="AY192" s="8" t="s">
        <v>116</v>
      </c>
      <c r="AZ192" s="8" t="s">
        <v>67</v>
      </c>
      <c r="BD192" s="8" t="s">
        <v>115</v>
      </c>
      <c r="BJ192" s="51" t="e">
        <f>IF(#REF!="základní",N192,0)</f>
        <v>#REF!</v>
      </c>
      <c r="BK192" s="51" t="e">
        <f>IF(#REF!="snížená",N192,0)</f>
        <v>#REF!</v>
      </c>
      <c r="BL192" s="51" t="e">
        <f>IF(#REF!="zákl. přenesená",N192,0)</f>
        <v>#REF!</v>
      </c>
      <c r="BM192" s="51" t="e">
        <f>IF(#REF!="sníž. přenesená",N192,0)</f>
        <v>#REF!</v>
      </c>
      <c r="BN192" s="51" t="e">
        <f>IF(#REF!="nulová",N192,0)</f>
        <v>#REF!</v>
      </c>
      <c r="BO192" s="8" t="s">
        <v>56</v>
      </c>
      <c r="BP192" s="51">
        <f t="shared" si="10"/>
        <v>0</v>
      </c>
      <c r="BQ192" s="8" t="s">
        <v>120</v>
      </c>
      <c r="BR192" s="8" t="s">
        <v>168</v>
      </c>
    </row>
    <row r="193" spans="2:70" s="16" customFormat="1" ht="38.25" customHeight="1">
      <c r="B193" s="17"/>
      <c r="C193" s="87">
        <f>+C191+1</f>
        <v>54</v>
      </c>
      <c r="D193" s="87" t="s">
        <v>116</v>
      </c>
      <c r="E193" s="88" t="s">
        <v>547</v>
      </c>
      <c r="F193" s="192" t="s">
        <v>617</v>
      </c>
      <c r="G193" s="192"/>
      <c r="H193" s="192"/>
      <c r="I193" s="192"/>
      <c r="J193" s="89" t="s">
        <v>119</v>
      </c>
      <c r="K193" s="90">
        <f>+K178*0.3</f>
        <v>407.10840000000002</v>
      </c>
      <c r="L193" s="193"/>
      <c r="M193" s="194"/>
      <c r="N193" s="195">
        <f t="shared" si="16"/>
        <v>0</v>
      </c>
      <c r="O193" s="195"/>
      <c r="P193" s="195"/>
      <c r="Q193" s="195"/>
      <c r="R193" s="19"/>
      <c r="S193" s="111"/>
      <c r="T193" s="111"/>
      <c r="U193" s="111"/>
      <c r="V193" s="111"/>
      <c r="W193" s="111"/>
      <c r="X193" s="111"/>
      <c r="Y193" s="111"/>
      <c r="Z193" s="111"/>
      <c r="AA193" s="111"/>
      <c r="AB193" s="111"/>
      <c r="AC193" s="111"/>
      <c r="AD193" s="111"/>
      <c r="AE193" s="111"/>
      <c r="AF193" s="111"/>
      <c r="AG193" s="111"/>
      <c r="AH193" s="111"/>
      <c r="AI193" s="111"/>
      <c r="AJ193" s="111"/>
      <c r="AK193" s="111"/>
      <c r="AL193" s="111"/>
      <c r="AM193" s="111"/>
      <c r="AN193" s="111"/>
      <c r="AO193" s="111"/>
      <c r="AP193" s="111"/>
      <c r="AQ193" s="111"/>
      <c r="AR193" s="111"/>
      <c r="AS193" s="111"/>
      <c r="AW193" s="8" t="s">
        <v>120</v>
      </c>
      <c r="AY193" s="8" t="s">
        <v>116</v>
      </c>
      <c r="AZ193" s="8" t="s">
        <v>67</v>
      </c>
      <c r="BD193" s="8" t="s">
        <v>115</v>
      </c>
      <c r="BJ193" s="51" t="e">
        <f>IF(#REF!="základní",N193,0)</f>
        <v>#REF!</v>
      </c>
      <c r="BK193" s="51" t="e">
        <f>IF(#REF!="snížená",N193,0)</f>
        <v>#REF!</v>
      </c>
      <c r="BL193" s="51" t="e">
        <f>IF(#REF!="zákl. přenesená",N193,0)</f>
        <v>#REF!</v>
      </c>
      <c r="BM193" s="51" t="e">
        <f>IF(#REF!="sníž. přenesená",N193,0)</f>
        <v>#REF!</v>
      </c>
      <c r="BN193" s="51" t="e">
        <f>IF(#REF!="nulová",N193,0)</f>
        <v>#REF!</v>
      </c>
      <c r="BO193" s="8" t="s">
        <v>56</v>
      </c>
      <c r="BP193" s="51">
        <f t="shared" ref="BP193" si="17">ROUND(L193*K193,2)</f>
        <v>0</v>
      </c>
      <c r="BQ193" s="8" t="s">
        <v>120</v>
      </c>
      <c r="BR193" s="8" t="s">
        <v>168</v>
      </c>
    </row>
    <row r="194" spans="2:70" s="16" customFormat="1" ht="38.25" customHeight="1">
      <c r="B194" s="17"/>
      <c r="C194" s="87">
        <f>+C192+1</f>
        <v>55</v>
      </c>
      <c r="D194" s="87" t="s">
        <v>116</v>
      </c>
      <c r="E194" s="88" t="s">
        <v>547</v>
      </c>
      <c r="F194" s="192" t="s">
        <v>477</v>
      </c>
      <c r="G194" s="192"/>
      <c r="H194" s="192"/>
      <c r="I194" s="192"/>
      <c r="J194" s="89" t="s">
        <v>119</v>
      </c>
      <c r="K194" s="90">
        <v>98.6</v>
      </c>
      <c r="L194" s="193"/>
      <c r="M194" s="194"/>
      <c r="N194" s="195">
        <f t="shared" si="16"/>
        <v>0</v>
      </c>
      <c r="O194" s="195"/>
      <c r="P194" s="195"/>
      <c r="Q194" s="195"/>
      <c r="R194" s="19"/>
      <c r="S194" s="111"/>
      <c r="T194" s="111"/>
      <c r="U194" s="111"/>
      <c r="V194" s="111"/>
      <c r="W194" s="111"/>
      <c r="X194" s="111"/>
      <c r="Y194" s="111"/>
      <c r="Z194" s="111"/>
      <c r="AA194" s="111"/>
      <c r="AB194" s="111"/>
      <c r="AC194" s="111"/>
      <c r="AD194" s="111"/>
      <c r="AE194" s="111"/>
      <c r="AF194" s="111"/>
      <c r="AG194" s="111"/>
      <c r="AH194" s="111"/>
      <c r="AI194" s="111"/>
      <c r="AJ194" s="111"/>
      <c r="AK194" s="111"/>
      <c r="AL194" s="111"/>
      <c r="AM194" s="111"/>
      <c r="AN194" s="111"/>
      <c r="AO194" s="111"/>
      <c r="AP194" s="111"/>
      <c r="AQ194" s="111"/>
      <c r="AR194" s="111"/>
      <c r="AS194" s="111"/>
      <c r="AW194" s="8" t="s">
        <v>120</v>
      </c>
      <c r="AY194" s="8" t="s">
        <v>116</v>
      </c>
      <c r="AZ194" s="8" t="s">
        <v>67</v>
      </c>
      <c r="BD194" s="8" t="s">
        <v>115</v>
      </c>
      <c r="BJ194" s="51" t="e">
        <f>IF(#REF!="základní",N194,0)</f>
        <v>#REF!</v>
      </c>
      <c r="BK194" s="51" t="e">
        <f>IF(#REF!="snížená",N194,0)</f>
        <v>#REF!</v>
      </c>
      <c r="BL194" s="51" t="e">
        <f>IF(#REF!="zákl. přenesená",N194,0)</f>
        <v>#REF!</v>
      </c>
      <c r="BM194" s="51" t="e">
        <f>IF(#REF!="sníž. přenesená",N194,0)</f>
        <v>#REF!</v>
      </c>
      <c r="BN194" s="51" t="e">
        <f>IF(#REF!="nulová",N194,0)</f>
        <v>#REF!</v>
      </c>
      <c r="BO194" s="8" t="s">
        <v>56</v>
      </c>
      <c r="BP194" s="51">
        <f t="shared" si="10"/>
        <v>0</v>
      </c>
      <c r="BQ194" s="8" t="s">
        <v>120</v>
      </c>
      <c r="BR194" s="8" t="s">
        <v>168</v>
      </c>
    </row>
    <row r="195" spans="2:70" s="77" customFormat="1" ht="29.85" customHeight="1">
      <c r="B195" s="76"/>
      <c r="D195" s="86" t="s">
        <v>86</v>
      </c>
      <c r="E195" s="86"/>
      <c r="F195" s="86"/>
      <c r="G195" s="86"/>
      <c r="H195" s="86"/>
      <c r="I195" s="86"/>
      <c r="J195" s="86"/>
      <c r="K195" s="86"/>
      <c r="L195" s="86"/>
      <c r="M195" s="86"/>
      <c r="N195" s="202">
        <f>SUM(N196:Q207)</f>
        <v>0</v>
      </c>
      <c r="O195" s="203"/>
      <c r="P195" s="203"/>
      <c r="Q195" s="203"/>
      <c r="R195" s="79"/>
      <c r="S195" s="111"/>
      <c r="T195" s="111"/>
      <c r="U195" s="111"/>
      <c r="V195" s="111"/>
      <c r="W195" s="111"/>
      <c r="X195" s="111"/>
      <c r="Y195" s="111"/>
      <c r="Z195" s="111"/>
      <c r="AA195" s="111"/>
      <c r="AB195" s="111"/>
      <c r="AC195" s="111"/>
      <c r="AD195" s="111"/>
      <c r="AE195" s="111"/>
      <c r="AF195" s="111"/>
      <c r="AG195" s="111"/>
      <c r="AH195" s="111"/>
      <c r="AI195" s="111"/>
      <c r="AJ195" s="111"/>
      <c r="AK195" s="111"/>
      <c r="AL195" s="111"/>
      <c r="AM195" s="111"/>
      <c r="AN195" s="111"/>
      <c r="AO195" s="111"/>
      <c r="AP195" s="111"/>
      <c r="AQ195" s="111"/>
      <c r="AR195" s="111"/>
      <c r="AS195" s="111"/>
      <c r="AW195" s="83" t="s">
        <v>56</v>
      </c>
      <c r="AY195" s="84" t="s">
        <v>53</v>
      </c>
      <c r="AZ195" s="84" t="s">
        <v>56</v>
      </c>
      <c r="BD195" s="83" t="s">
        <v>115</v>
      </c>
      <c r="BP195" s="56">
        <f>SUM(BP196:BP207)</f>
        <v>0</v>
      </c>
    </row>
    <row r="196" spans="2:70" s="16" customFormat="1" ht="16.5" customHeight="1">
      <c r="B196" s="17"/>
      <c r="C196" s="87">
        <f>+C194+1</f>
        <v>56</v>
      </c>
      <c r="D196" s="87" t="s">
        <v>116</v>
      </c>
      <c r="E196" s="88" t="s">
        <v>211</v>
      </c>
      <c r="F196" s="192" t="s">
        <v>212</v>
      </c>
      <c r="G196" s="192"/>
      <c r="H196" s="192"/>
      <c r="I196" s="192"/>
      <c r="J196" s="89" t="s">
        <v>119</v>
      </c>
      <c r="K196" s="90">
        <v>296.64</v>
      </c>
      <c r="L196" s="193"/>
      <c r="M196" s="194"/>
      <c r="N196" s="195">
        <f t="shared" ref="N196:N207" si="18">ROUND(L196*K196,2)</f>
        <v>0</v>
      </c>
      <c r="O196" s="195"/>
      <c r="P196" s="195"/>
      <c r="Q196" s="195"/>
      <c r="R196" s="19"/>
      <c r="S196" s="111"/>
      <c r="T196" s="111"/>
      <c r="U196" s="111"/>
      <c r="V196" s="111"/>
      <c r="W196" s="111"/>
      <c r="X196" s="111"/>
      <c r="Y196" s="111"/>
      <c r="Z196" s="111"/>
      <c r="AA196" s="111"/>
      <c r="AB196" s="111"/>
      <c r="AC196" s="111"/>
      <c r="AD196" s="111"/>
      <c r="AE196" s="111"/>
      <c r="AF196" s="111"/>
      <c r="AG196" s="111"/>
      <c r="AH196" s="111"/>
      <c r="AI196" s="111"/>
      <c r="AJ196" s="111"/>
      <c r="AK196" s="111"/>
      <c r="AL196" s="111"/>
      <c r="AM196" s="111"/>
      <c r="AN196" s="111"/>
      <c r="AO196" s="111"/>
      <c r="AP196" s="111"/>
      <c r="AQ196" s="111"/>
      <c r="AR196" s="111"/>
      <c r="AS196" s="111"/>
      <c r="AW196" s="8" t="s">
        <v>120</v>
      </c>
      <c r="AY196" s="8" t="s">
        <v>116</v>
      </c>
      <c r="AZ196" s="8" t="s">
        <v>67</v>
      </c>
      <c r="BD196" s="8" t="s">
        <v>115</v>
      </c>
      <c r="BJ196" s="51" t="e">
        <f>IF(#REF!="základní",N196,0)</f>
        <v>#REF!</v>
      </c>
      <c r="BK196" s="51" t="e">
        <f>IF(#REF!="snížená",N196,0)</f>
        <v>#REF!</v>
      </c>
      <c r="BL196" s="51" t="e">
        <f>IF(#REF!="zákl. přenesená",N196,0)</f>
        <v>#REF!</v>
      </c>
      <c r="BM196" s="51" t="e">
        <f>IF(#REF!="sníž. přenesená",N196,0)</f>
        <v>#REF!</v>
      </c>
      <c r="BN196" s="51" t="e">
        <f>IF(#REF!="nulová",N196,0)</f>
        <v>#REF!</v>
      </c>
      <c r="BO196" s="8" t="s">
        <v>56</v>
      </c>
      <c r="BP196" s="51">
        <f t="shared" ref="BP196:BP207" si="19">ROUND(L196*K196,2)</f>
        <v>0</v>
      </c>
      <c r="BQ196" s="8" t="s">
        <v>120</v>
      </c>
      <c r="BR196" s="8" t="s">
        <v>213</v>
      </c>
    </row>
    <row r="197" spans="2:70" s="16" customFormat="1" ht="38.25" customHeight="1">
      <c r="B197" s="17"/>
      <c r="C197" s="87">
        <f>+C196+1</f>
        <v>57</v>
      </c>
      <c r="D197" s="87" t="s">
        <v>116</v>
      </c>
      <c r="E197" s="88" t="s">
        <v>214</v>
      </c>
      <c r="F197" s="192" t="s">
        <v>215</v>
      </c>
      <c r="G197" s="192"/>
      <c r="H197" s="192"/>
      <c r="I197" s="192"/>
      <c r="J197" s="89" t="s">
        <v>119</v>
      </c>
      <c r="K197" s="90">
        <v>1776.64</v>
      </c>
      <c r="L197" s="193"/>
      <c r="M197" s="194"/>
      <c r="N197" s="195">
        <f t="shared" si="18"/>
        <v>0</v>
      </c>
      <c r="O197" s="195"/>
      <c r="P197" s="195"/>
      <c r="Q197" s="195"/>
      <c r="R197" s="19"/>
      <c r="S197" s="111"/>
      <c r="T197" s="111"/>
      <c r="U197" s="111"/>
      <c r="V197" s="111"/>
      <c r="W197" s="111"/>
      <c r="X197" s="111"/>
      <c r="Y197" s="111"/>
      <c r="Z197" s="111"/>
      <c r="AA197" s="111"/>
      <c r="AB197" s="111"/>
      <c r="AC197" s="111"/>
      <c r="AD197" s="111"/>
      <c r="AE197" s="111"/>
      <c r="AF197" s="111"/>
      <c r="AG197" s="111"/>
      <c r="AH197" s="111"/>
      <c r="AI197" s="111"/>
      <c r="AJ197" s="111"/>
      <c r="AK197" s="111"/>
      <c r="AL197" s="111"/>
      <c r="AM197" s="111"/>
      <c r="AN197" s="111"/>
      <c r="AO197" s="111"/>
      <c r="AP197" s="111"/>
      <c r="AQ197" s="111"/>
      <c r="AR197" s="111"/>
      <c r="AS197" s="111"/>
      <c r="AW197" s="8" t="s">
        <v>120</v>
      </c>
      <c r="AY197" s="8" t="s">
        <v>116</v>
      </c>
      <c r="AZ197" s="8" t="s">
        <v>67</v>
      </c>
      <c r="BD197" s="8" t="s">
        <v>115</v>
      </c>
      <c r="BJ197" s="51" t="e">
        <f>IF(#REF!="základní",N197,0)</f>
        <v>#REF!</v>
      </c>
      <c r="BK197" s="51" t="e">
        <f>IF(#REF!="snížená",N197,0)</f>
        <v>#REF!</v>
      </c>
      <c r="BL197" s="51" t="e">
        <f>IF(#REF!="zákl. přenesená",N197,0)</f>
        <v>#REF!</v>
      </c>
      <c r="BM197" s="51" t="e">
        <f>IF(#REF!="sníž. přenesená",N197,0)</f>
        <v>#REF!</v>
      </c>
      <c r="BN197" s="51" t="e">
        <f>IF(#REF!="nulová",N197,0)</f>
        <v>#REF!</v>
      </c>
      <c r="BO197" s="8" t="s">
        <v>56</v>
      </c>
      <c r="BP197" s="51">
        <f t="shared" si="19"/>
        <v>0</v>
      </c>
      <c r="BQ197" s="8" t="s">
        <v>120</v>
      </c>
      <c r="BR197" s="8" t="s">
        <v>216</v>
      </c>
    </row>
    <row r="198" spans="2:70" s="16" customFormat="1" ht="38.25" customHeight="1">
      <c r="B198" s="17"/>
      <c r="C198" s="87">
        <f t="shared" ref="C198:C207" si="20">+C197+1</f>
        <v>58</v>
      </c>
      <c r="D198" s="87" t="s">
        <v>116</v>
      </c>
      <c r="E198" s="88" t="s">
        <v>217</v>
      </c>
      <c r="F198" s="192" t="s">
        <v>218</v>
      </c>
      <c r="G198" s="192"/>
      <c r="H198" s="192"/>
      <c r="I198" s="192"/>
      <c r="J198" s="89" t="s">
        <v>119</v>
      </c>
      <c r="K198" s="90">
        <v>108375.03999999999</v>
      </c>
      <c r="L198" s="193"/>
      <c r="M198" s="194"/>
      <c r="N198" s="195">
        <f t="shared" si="18"/>
        <v>0</v>
      </c>
      <c r="O198" s="195"/>
      <c r="P198" s="195"/>
      <c r="Q198" s="195"/>
      <c r="R198" s="19"/>
      <c r="S198" s="111"/>
      <c r="T198" s="111"/>
      <c r="U198" s="111"/>
      <c r="V198" s="111"/>
      <c r="W198" s="111"/>
      <c r="X198" s="111"/>
      <c r="Y198" s="111"/>
      <c r="Z198" s="111"/>
      <c r="AA198" s="111"/>
      <c r="AB198" s="111"/>
      <c r="AC198" s="111"/>
      <c r="AD198" s="111"/>
      <c r="AE198" s="111"/>
      <c r="AF198" s="111"/>
      <c r="AG198" s="111"/>
      <c r="AH198" s="111"/>
      <c r="AI198" s="111"/>
      <c r="AJ198" s="111"/>
      <c r="AK198" s="111"/>
      <c r="AL198" s="111"/>
      <c r="AM198" s="111"/>
      <c r="AN198" s="111"/>
      <c r="AO198" s="111"/>
      <c r="AP198" s="111"/>
      <c r="AQ198" s="111"/>
      <c r="AR198" s="111"/>
      <c r="AS198" s="111"/>
      <c r="AW198" s="8" t="s">
        <v>120</v>
      </c>
      <c r="AY198" s="8" t="s">
        <v>116</v>
      </c>
      <c r="AZ198" s="8" t="s">
        <v>67</v>
      </c>
      <c r="BD198" s="8" t="s">
        <v>115</v>
      </c>
      <c r="BJ198" s="51" t="e">
        <f>IF(#REF!="základní",N198,0)</f>
        <v>#REF!</v>
      </c>
      <c r="BK198" s="51" t="e">
        <f>IF(#REF!="snížená",N198,0)</f>
        <v>#REF!</v>
      </c>
      <c r="BL198" s="51" t="e">
        <f>IF(#REF!="zákl. přenesená",N198,0)</f>
        <v>#REF!</v>
      </c>
      <c r="BM198" s="51" t="e">
        <f>IF(#REF!="sníž. přenesená",N198,0)</f>
        <v>#REF!</v>
      </c>
      <c r="BN198" s="51" t="e">
        <f>IF(#REF!="nulová",N198,0)</f>
        <v>#REF!</v>
      </c>
      <c r="BO198" s="8" t="s">
        <v>56</v>
      </c>
      <c r="BP198" s="51">
        <f t="shared" si="19"/>
        <v>0</v>
      </c>
      <c r="BQ198" s="8" t="s">
        <v>120</v>
      </c>
      <c r="BR198" s="8" t="s">
        <v>219</v>
      </c>
    </row>
    <row r="199" spans="2:70" s="16" customFormat="1" ht="38.25" customHeight="1">
      <c r="B199" s="17"/>
      <c r="C199" s="87">
        <f t="shared" si="20"/>
        <v>59</v>
      </c>
      <c r="D199" s="87" t="s">
        <v>116</v>
      </c>
      <c r="E199" s="88" t="s">
        <v>220</v>
      </c>
      <c r="F199" s="192" t="s">
        <v>221</v>
      </c>
      <c r="G199" s="192"/>
      <c r="H199" s="192"/>
      <c r="I199" s="192"/>
      <c r="J199" s="89" t="s">
        <v>119</v>
      </c>
      <c r="K199" s="90">
        <v>1776.64</v>
      </c>
      <c r="L199" s="193"/>
      <c r="M199" s="194"/>
      <c r="N199" s="195">
        <f t="shared" si="18"/>
        <v>0</v>
      </c>
      <c r="O199" s="195"/>
      <c r="P199" s="195"/>
      <c r="Q199" s="195"/>
      <c r="R199" s="19"/>
      <c r="S199" s="111"/>
      <c r="T199" s="111"/>
      <c r="U199" s="111"/>
      <c r="V199" s="111"/>
      <c r="W199" s="111"/>
      <c r="X199" s="111"/>
      <c r="Y199" s="111"/>
      <c r="Z199" s="111"/>
      <c r="AA199" s="111"/>
      <c r="AB199" s="111"/>
      <c r="AC199" s="111"/>
      <c r="AD199" s="111"/>
      <c r="AE199" s="111"/>
      <c r="AF199" s="111"/>
      <c r="AG199" s="111"/>
      <c r="AH199" s="111"/>
      <c r="AI199" s="111"/>
      <c r="AJ199" s="111"/>
      <c r="AK199" s="111"/>
      <c r="AL199" s="111"/>
      <c r="AM199" s="111"/>
      <c r="AN199" s="111"/>
      <c r="AO199" s="111"/>
      <c r="AP199" s="111"/>
      <c r="AQ199" s="111"/>
      <c r="AR199" s="111"/>
      <c r="AS199" s="111"/>
      <c r="AW199" s="8" t="s">
        <v>120</v>
      </c>
      <c r="AY199" s="8" t="s">
        <v>116</v>
      </c>
      <c r="AZ199" s="8" t="s">
        <v>67</v>
      </c>
      <c r="BD199" s="8" t="s">
        <v>115</v>
      </c>
      <c r="BJ199" s="51" t="e">
        <f>IF(#REF!="základní",N199,0)</f>
        <v>#REF!</v>
      </c>
      <c r="BK199" s="51" t="e">
        <f>IF(#REF!="snížená",N199,0)</f>
        <v>#REF!</v>
      </c>
      <c r="BL199" s="51" t="e">
        <f>IF(#REF!="zákl. přenesená",N199,0)</f>
        <v>#REF!</v>
      </c>
      <c r="BM199" s="51" t="e">
        <f>IF(#REF!="sníž. přenesená",N199,0)</f>
        <v>#REF!</v>
      </c>
      <c r="BN199" s="51" t="e">
        <f>IF(#REF!="nulová",N199,0)</f>
        <v>#REF!</v>
      </c>
      <c r="BO199" s="8" t="s">
        <v>56</v>
      </c>
      <c r="BP199" s="51">
        <f t="shared" si="19"/>
        <v>0</v>
      </c>
      <c r="BQ199" s="8" t="s">
        <v>120</v>
      </c>
      <c r="BR199" s="8" t="s">
        <v>222</v>
      </c>
    </row>
    <row r="200" spans="2:70" s="16" customFormat="1" ht="25.5" customHeight="1">
      <c r="B200" s="17"/>
      <c r="C200" s="87">
        <f t="shared" si="20"/>
        <v>60</v>
      </c>
      <c r="D200" s="87" t="s">
        <v>116</v>
      </c>
      <c r="E200" s="88" t="s">
        <v>223</v>
      </c>
      <c r="F200" s="192" t="s">
        <v>224</v>
      </c>
      <c r="G200" s="192"/>
      <c r="H200" s="192"/>
      <c r="I200" s="192"/>
      <c r="J200" s="89" t="s">
        <v>119</v>
      </c>
      <c r="K200" s="90">
        <v>1776.64</v>
      </c>
      <c r="L200" s="193"/>
      <c r="M200" s="194"/>
      <c r="N200" s="195">
        <f t="shared" si="18"/>
        <v>0</v>
      </c>
      <c r="O200" s="195"/>
      <c r="P200" s="195"/>
      <c r="Q200" s="195"/>
      <c r="R200" s="19"/>
      <c r="S200" s="111"/>
      <c r="T200" s="111"/>
      <c r="U200" s="111"/>
      <c r="V200" s="111"/>
      <c r="W200" s="111"/>
      <c r="X200" s="111"/>
      <c r="Y200" s="111"/>
      <c r="Z200" s="111"/>
      <c r="AA200" s="111"/>
      <c r="AB200" s="111"/>
      <c r="AC200" s="111"/>
      <c r="AD200" s="111"/>
      <c r="AE200" s="111"/>
      <c r="AF200" s="111"/>
      <c r="AG200" s="111"/>
      <c r="AH200" s="111"/>
      <c r="AI200" s="111"/>
      <c r="AJ200" s="111"/>
      <c r="AK200" s="111"/>
      <c r="AL200" s="111"/>
      <c r="AM200" s="111"/>
      <c r="AN200" s="111"/>
      <c r="AO200" s="111"/>
      <c r="AP200" s="111"/>
      <c r="AQ200" s="111"/>
      <c r="AR200" s="111"/>
      <c r="AS200" s="111"/>
      <c r="AW200" s="8" t="s">
        <v>120</v>
      </c>
      <c r="AY200" s="8" t="s">
        <v>116</v>
      </c>
      <c r="AZ200" s="8" t="s">
        <v>67</v>
      </c>
      <c r="BD200" s="8" t="s">
        <v>115</v>
      </c>
      <c r="BJ200" s="51" t="e">
        <f>IF(#REF!="základní",N200,0)</f>
        <v>#REF!</v>
      </c>
      <c r="BK200" s="51" t="e">
        <f>IF(#REF!="snížená",N200,0)</f>
        <v>#REF!</v>
      </c>
      <c r="BL200" s="51" t="e">
        <f>IF(#REF!="zákl. přenesená",N200,0)</f>
        <v>#REF!</v>
      </c>
      <c r="BM200" s="51" t="e">
        <f>IF(#REF!="sníž. přenesená",N200,0)</f>
        <v>#REF!</v>
      </c>
      <c r="BN200" s="51" t="e">
        <f>IF(#REF!="nulová",N200,0)</f>
        <v>#REF!</v>
      </c>
      <c r="BO200" s="8" t="s">
        <v>56</v>
      </c>
      <c r="BP200" s="51">
        <f t="shared" si="19"/>
        <v>0</v>
      </c>
      <c r="BQ200" s="8" t="s">
        <v>120</v>
      </c>
      <c r="BR200" s="8" t="s">
        <v>225</v>
      </c>
    </row>
    <row r="201" spans="2:70" s="16" customFormat="1" ht="25.5" customHeight="1">
      <c r="B201" s="17"/>
      <c r="C201" s="87">
        <f t="shared" si="20"/>
        <v>61</v>
      </c>
      <c r="D201" s="87" t="s">
        <v>116</v>
      </c>
      <c r="E201" s="88" t="s">
        <v>226</v>
      </c>
      <c r="F201" s="192" t="s">
        <v>227</v>
      </c>
      <c r="G201" s="192"/>
      <c r="H201" s="192"/>
      <c r="I201" s="192"/>
      <c r="J201" s="89" t="s">
        <v>119</v>
      </c>
      <c r="K201" s="90">
        <v>108375.03999999999</v>
      </c>
      <c r="L201" s="193"/>
      <c r="M201" s="194"/>
      <c r="N201" s="195">
        <f t="shared" si="18"/>
        <v>0</v>
      </c>
      <c r="O201" s="195"/>
      <c r="P201" s="195"/>
      <c r="Q201" s="195"/>
      <c r="R201" s="19"/>
      <c r="S201" s="111"/>
      <c r="T201" s="111"/>
      <c r="U201" s="111"/>
      <c r="V201" s="111"/>
      <c r="W201" s="111"/>
      <c r="X201" s="111"/>
      <c r="Y201" s="111"/>
      <c r="Z201" s="111"/>
      <c r="AA201" s="111"/>
      <c r="AB201" s="111"/>
      <c r="AC201" s="111"/>
      <c r="AD201" s="111"/>
      <c r="AE201" s="111"/>
      <c r="AF201" s="111"/>
      <c r="AG201" s="111"/>
      <c r="AH201" s="111"/>
      <c r="AI201" s="111"/>
      <c r="AJ201" s="111"/>
      <c r="AK201" s="111"/>
      <c r="AL201" s="111"/>
      <c r="AM201" s="111"/>
      <c r="AN201" s="111"/>
      <c r="AO201" s="111"/>
      <c r="AP201" s="111"/>
      <c r="AQ201" s="111"/>
      <c r="AR201" s="111"/>
      <c r="AS201" s="111"/>
      <c r="AW201" s="8" t="s">
        <v>120</v>
      </c>
      <c r="AY201" s="8" t="s">
        <v>116</v>
      </c>
      <c r="AZ201" s="8" t="s">
        <v>67</v>
      </c>
      <c r="BD201" s="8" t="s">
        <v>115</v>
      </c>
      <c r="BJ201" s="51" t="e">
        <f>IF(#REF!="základní",N201,0)</f>
        <v>#REF!</v>
      </c>
      <c r="BK201" s="51" t="e">
        <f>IF(#REF!="snížená",N201,0)</f>
        <v>#REF!</v>
      </c>
      <c r="BL201" s="51" t="e">
        <f>IF(#REF!="zákl. přenesená",N201,0)</f>
        <v>#REF!</v>
      </c>
      <c r="BM201" s="51" t="e">
        <f>IF(#REF!="sníž. přenesená",N201,0)</f>
        <v>#REF!</v>
      </c>
      <c r="BN201" s="51" t="e">
        <f>IF(#REF!="nulová",N201,0)</f>
        <v>#REF!</v>
      </c>
      <c r="BO201" s="8" t="s">
        <v>56</v>
      </c>
      <c r="BP201" s="51">
        <f t="shared" si="19"/>
        <v>0</v>
      </c>
      <c r="BQ201" s="8" t="s">
        <v>120</v>
      </c>
      <c r="BR201" s="8" t="s">
        <v>228</v>
      </c>
    </row>
    <row r="202" spans="2:70" s="16" customFormat="1" ht="25.5" customHeight="1">
      <c r="B202" s="17"/>
      <c r="C202" s="87">
        <f t="shared" si="20"/>
        <v>62</v>
      </c>
      <c r="D202" s="87" t="s">
        <v>116</v>
      </c>
      <c r="E202" s="88" t="s">
        <v>229</v>
      </c>
      <c r="F202" s="192" t="s">
        <v>230</v>
      </c>
      <c r="G202" s="192"/>
      <c r="H202" s="192"/>
      <c r="I202" s="192"/>
      <c r="J202" s="89" t="s">
        <v>119</v>
      </c>
      <c r="K202" s="90">
        <v>1776.64</v>
      </c>
      <c r="L202" s="193"/>
      <c r="M202" s="194"/>
      <c r="N202" s="195">
        <f t="shared" si="18"/>
        <v>0</v>
      </c>
      <c r="O202" s="195"/>
      <c r="P202" s="195"/>
      <c r="Q202" s="195"/>
      <c r="R202" s="19"/>
      <c r="S202" s="111"/>
      <c r="T202" s="111"/>
      <c r="U202" s="111"/>
      <c r="V202" s="111"/>
      <c r="W202" s="111"/>
      <c r="X202" s="111"/>
      <c r="Y202" s="111"/>
      <c r="Z202" s="111"/>
      <c r="AA202" s="111"/>
      <c r="AB202" s="111"/>
      <c r="AC202" s="111"/>
      <c r="AD202" s="111"/>
      <c r="AE202" s="111"/>
      <c r="AF202" s="111"/>
      <c r="AG202" s="111"/>
      <c r="AH202" s="111"/>
      <c r="AI202" s="111"/>
      <c r="AJ202" s="111"/>
      <c r="AK202" s="111"/>
      <c r="AL202" s="111"/>
      <c r="AM202" s="111"/>
      <c r="AN202" s="111"/>
      <c r="AO202" s="111"/>
      <c r="AP202" s="111"/>
      <c r="AQ202" s="111"/>
      <c r="AR202" s="111"/>
      <c r="AS202" s="111"/>
      <c r="AW202" s="8" t="s">
        <v>120</v>
      </c>
      <c r="AY202" s="8" t="s">
        <v>116</v>
      </c>
      <c r="AZ202" s="8" t="s">
        <v>67</v>
      </c>
      <c r="BD202" s="8" t="s">
        <v>115</v>
      </c>
      <c r="BJ202" s="51" t="e">
        <f>IF(#REF!="základní",N202,0)</f>
        <v>#REF!</v>
      </c>
      <c r="BK202" s="51" t="e">
        <f>IF(#REF!="snížená",N202,0)</f>
        <v>#REF!</v>
      </c>
      <c r="BL202" s="51" t="e">
        <f>IF(#REF!="zákl. přenesená",N202,0)</f>
        <v>#REF!</v>
      </c>
      <c r="BM202" s="51" t="e">
        <f>IF(#REF!="sníž. přenesená",N202,0)</f>
        <v>#REF!</v>
      </c>
      <c r="BN202" s="51" t="e">
        <f>IF(#REF!="nulová",N202,0)</f>
        <v>#REF!</v>
      </c>
      <c r="BO202" s="8" t="s">
        <v>56</v>
      </c>
      <c r="BP202" s="51">
        <f t="shared" si="19"/>
        <v>0</v>
      </c>
      <c r="BQ202" s="8" t="s">
        <v>120</v>
      </c>
      <c r="BR202" s="8" t="s">
        <v>231</v>
      </c>
    </row>
    <row r="203" spans="2:70" s="16" customFormat="1" ht="38.25" customHeight="1">
      <c r="B203" s="17"/>
      <c r="C203" s="87">
        <f t="shared" si="20"/>
        <v>63</v>
      </c>
      <c r="D203" s="87" t="s">
        <v>116</v>
      </c>
      <c r="E203" s="88" t="s">
        <v>601</v>
      </c>
      <c r="F203" s="192" t="s">
        <v>478</v>
      </c>
      <c r="G203" s="192"/>
      <c r="H203" s="192"/>
      <c r="I203" s="192"/>
      <c r="J203" s="89" t="s">
        <v>142</v>
      </c>
      <c r="K203" s="90">
        <v>1</v>
      </c>
      <c r="L203" s="193"/>
      <c r="M203" s="194"/>
      <c r="N203" s="195">
        <f t="shared" si="18"/>
        <v>0</v>
      </c>
      <c r="O203" s="195"/>
      <c r="P203" s="195"/>
      <c r="Q203" s="195"/>
      <c r="R203" s="19"/>
      <c r="S203" s="111"/>
      <c r="T203" s="111"/>
      <c r="U203" s="111"/>
      <c r="V203" s="111"/>
      <c r="W203" s="111"/>
      <c r="X203" s="111"/>
      <c r="Y203" s="111"/>
      <c r="Z203" s="111"/>
      <c r="AA203" s="111"/>
      <c r="AB203" s="111"/>
      <c r="AC203" s="111"/>
      <c r="AD203" s="111"/>
      <c r="AE203" s="111"/>
      <c r="AF203" s="111"/>
      <c r="AG203" s="111"/>
      <c r="AH203" s="111"/>
      <c r="AI203" s="111"/>
      <c r="AJ203" s="111"/>
      <c r="AK203" s="111"/>
      <c r="AL203" s="111"/>
      <c r="AM203" s="111"/>
      <c r="AN203" s="111"/>
      <c r="AO203" s="111"/>
      <c r="AP203" s="111"/>
      <c r="AQ203" s="111"/>
      <c r="AR203" s="111"/>
      <c r="AS203" s="111"/>
      <c r="AW203" s="8" t="s">
        <v>120</v>
      </c>
      <c r="AY203" s="8" t="s">
        <v>116</v>
      </c>
      <c r="AZ203" s="8" t="s">
        <v>67</v>
      </c>
      <c r="BD203" s="8" t="s">
        <v>115</v>
      </c>
      <c r="BJ203" s="51" t="e">
        <f>IF(#REF!="základní",N203,0)</f>
        <v>#REF!</v>
      </c>
      <c r="BK203" s="51" t="e">
        <f>IF(#REF!="snížená",N203,0)</f>
        <v>#REF!</v>
      </c>
      <c r="BL203" s="51" t="e">
        <f>IF(#REF!="zákl. přenesená",N203,0)</f>
        <v>#REF!</v>
      </c>
      <c r="BM203" s="51" t="e">
        <f>IF(#REF!="sníž. přenesená",N203,0)</f>
        <v>#REF!</v>
      </c>
      <c r="BN203" s="51" t="e">
        <f>IF(#REF!="nulová",N203,0)</f>
        <v>#REF!</v>
      </c>
      <c r="BO203" s="8" t="s">
        <v>56</v>
      </c>
      <c r="BP203" s="51">
        <f t="shared" si="19"/>
        <v>0</v>
      </c>
      <c r="BQ203" s="8" t="s">
        <v>120</v>
      </c>
      <c r="BR203" s="8" t="s">
        <v>232</v>
      </c>
    </row>
    <row r="204" spans="2:70" s="16" customFormat="1" ht="25.5" customHeight="1">
      <c r="B204" s="17"/>
      <c r="C204" s="87">
        <f t="shared" si="20"/>
        <v>64</v>
      </c>
      <c r="D204" s="87" t="s">
        <v>116</v>
      </c>
      <c r="E204" s="88" t="s">
        <v>233</v>
      </c>
      <c r="F204" s="192" t="s">
        <v>234</v>
      </c>
      <c r="G204" s="192"/>
      <c r="H204" s="192"/>
      <c r="I204" s="192"/>
      <c r="J204" s="89" t="s">
        <v>119</v>
      </c>
      <c r="K204" s="90">
        <v>190.1</v>
      </c>
      <c r="L204" s="193"/>
      <c r="M204" s="194"/>
      <c r="N204" s="195">
        <f t="shared" si="18"/>
        <v>0</v>
      </c>
      <c r="O204" s="195"/>
      <c r="P204" s="195"/>
      <c r="Q204" s="195"/>
      <c r="R204" s="19"/>
      <c r="S204" s="111"/>
      <c r="T204" s="111"/>
      <c r="U204" s="111"/>
      <c r="V204" s="111"/>
      <c r="W204" s="111"/>
      <c r="X204" s="111"/>
      <c r="Y204" s="111"/>
      <c r="Z204" s="111"/>
      <c r="AA204" s="111"/>
      <c r="AB204" s="111"/>
      <c r="AC204" s="111"/>
      <c r="AD204" s="111"/>
      <c r="AE204" s="111"/>
      <c r="AF204" s="111"/>
      <c r="AG204" s="111"/>
      <c r="AH204" s="111"/>
      <c r="AI204" s="111"/>
      <c r="AJ204" s="111"/>
      <c r="AK204" s="111"/>
      <c r="AL204" s="111"/>
      <c r="AM204" s="111"/>
      <c r="AN204" s="111"/>
      <c r="AO204" s="111"/>
      <c r="AP204" s="111"/>
      <c r="AQ204" s="111"/>
      <c r="AR204" s="111"/>
      <c r="AS204" s="111"/>
      <c r="AW204" s="8" t="s">
        <v>120</v>
      </c>
      <c r="AY204" s="8" t="s">
        <v>116</v>
      </c>
      <c r="AZ204" s="8" t="s">
        <v>67</v>
      </c>
      <c r="BD204" s="8" t="s">
        <v>115</v>
      </c>
      <c r="BJ204" s="51" t="e">
        <f>IF(#REF!="základní",N204,0)</f>
        <v>#REF!</v>
      </c>
      <c r="BK204" s="51" t="e">
        <f>IF(#REF!="snížená",N204,0)</f>
        <v>#REF!</v>
      </c>
      <c r="BL204" s="51" t="e">
        <f>IF(#REF!="zákl. přenesená",N204,0)</f>
        <v>#REF!</v>
      </c>
      <c r="BM204" s="51" t="e">
        <f>IF(#REF!="sníž. přenesená",N204,0)</f>
        <v>#REF!</v>
      </c>
      <c r="BN204" s="51" t="e">
        <f>IF(#REF!="nulová",N204,0)</f>
        <v>#REF!</v>
      </c>
      <c r="BO204" s="8" t="s">
        <v>56</v>
      </c>
      <c r="BP204" s="51">
        <f t="shared" si="19"/>
        <v>0</v>
      </c>
      <c r="BQ204" s="8" t="s">
        <v>120</v>
      </c>
      <c r="BR204" s="8" t="s">
        <v>235</v>
      </c>
    </row>
    <row r="205" spans="2:70" s="16" customFormat="1" ht="25.5" customHeight="1">
      <c r="B205" s="17"/>
      <c r="C205" s="87">
        <f t="shared" si="20"/>
        <v>65</v>
      </c>
      <c r="D205" s="87" t="s">
        <v>116</v>
      </c>
      <c r="E205" s="88" t="s">
        <v>236</v>
      </c>
      <c r="F205" s="192" t="s">
        <v>237</v>
      </c>
      <c r="G205" s="192"/>
      <c r="H205" s="192"/>
      <c r="I205" s="192"/>
      <c r="J205" s="89" t="s">
        <v>119</v>
      </c>
      <c r="K205" s="90">
        <v>166.41</v>
      </c>
      <c r="L205" s="193"/>
      <c r="M205" s="194"/>
      <c r="N205" s="195">
        <f t="shared" si="18"/>
        <v>0</v>
      </c>
      <c r="O205" s="195"/>
      <c r="P205" s="195"/>
      <c r="Q205" s="195"/>
      <c r="R205" s="19"/>
      <c r="S205" s="111"/>
      <c r="T205" s="111"/>
      <c r="U205" s="111"/>
      <c r="V205" s="111"/>
      <c r="W205" s="111"/>
      <c r="X205" s="111"/>
      <c r="Y205" s="111"/>
      <c r="Z205" s="111"/>
      <c r="AA205" s="111"/>
      <c r="AB205" s="111"/>
      <c r="AC205" s="111"/>
      <c r="AD205" s="111"/>
      <c r="AE205" s="111"/>
      <c r="AF205" s="111"/>
      <c r="AG205" s="111"/>
      <c r="AH205" s="111"/>
      <c r="AI205" s="111"/>
      <c r="AJ205" s="111"/>
      <c r="AK205" s="111"/>
      <c r="AL205" s="111"/>
      <c r="AM205" s="111"/>
      <c r="AN205" s="111"/>
      <c r="AO205" s="111"/>
      <c r="AP205" s="111"/>
      <c r="AQ205" s="111"/>
      <c r="AR205" s="111"/>
      <c r="AS205" s="111"/>
      <c r="AW205" s="8" t="s">
        <v>120</v>
      </c>
      <c r="AY205" s="8" t="s">
        <v>116</v>
      </c>
      <c r="AZ205" s="8" t="s">
        <v>67</v>
      </c>
      <c r="BD205" s="8" t="s">
        <v>115</v>
      </c>
      <c r="BJ205" s="51" t="e">
        <f>IF(#REF!="základní",N205,0)</f>
        <v>#REF!</v>
      </c>
      <c r="BK205" s="51" t="e">
        <f>IF(#REF!="snížená",N205,0)</f>
        <v>#REF!</v>
      </c>
      <c r="BL205" s="51" t="e">
        <f>IF(#REF!="zákl. přenesená",N205,0)</f>
        <v>#REF!</v>
      </c>
      <c r="BM205" s="51" t="e">
        <f>IF(#REF!="sníž. přenesená",N205,0)</f>
        <v>#REF!</v>
      </c>
      <c r="BN205" s="51" t="e">
        <f>IF(#REF!="nulová",N205,0)</f>
        <v>#REF!</v>
      </c>
      <c r="BO205" s="8" t="s">
        <v>56</v>
      </c>
      <c r="BP205" s="51">
        <f t="shared" si="19"/>
        <v>0</v>
      </c>
      <c r="BQ205" s="8" t="s">
        <v>120</v>
      </c>
      <c r="BR205" s="8" t="s">
        <v>238</v>
      </c>
    </row>
    <row r="206" spans="2:70" s="16" customFormat="1" ht="25.5" customHeight="1">
      <c r="B206" s="17"/>
      <c r="C206" s="87">
        <f t="shared" si="20"/>
        <v>66</v>
      </c>
      <c r="D206" s="87" t="s">
        <v>116</v>
      </c>
      <c r="E206" s="88" t="s">
        <v>239</v>
      </c>
      <c r="F206" s="192" t="s">
        <v>240</v>
      </c>
      <c r="G206" s="192"/>
      <c r="H206" s="192"/>
      <c r="I206" s="192"/>
      <c r="J206" s="89" t="s">
        <v>119</v>
      </c>
      <c r="K206" s="90">
        <v>1498.664</v>
      </c>
      <c r="L206" s="193"/>
      <c r="M206" s="194"/>
      <c r="N206" s="195">
        <f t="shared" si="18"/>
        <v>0</v>
      </c>
      <c r="O206" s="195"/>
      <c r="P206" s="195"/>
      <c r="Q206" s="195"/>
      <c r="R206" s="19"/>
      <c r="S206" s="111"/>
      <c r="T206" s="111"/>
      <c r="U206" s="111"/>
      <c r="V206" s="111"/>
      <c r="W206" s="111"/>
      <c r="X206" s="111"/>
      <c r="Y206" s="111"/>
      <c r="Z206" s="111"/>
      <c r="AA206" s="111"/>
      <c r="AB206" s="111"/>
      <c r="AC206" s="111"/>
      <c r="AD206" s="111"/>
      <c r="AE206" s="111"/>
      <c r="AF206" s="111"/>
      <c r="AG206" s="111"/>
      <c r="AH206" s="111"/>
      <c r="AI206" s="111"/>
      <c r="AJ206" s="111"/>
      <c r="AK206" s="111"/>
      <c r="AL206" s="111"/>
      <c r="AM206" s="111"/>
      <c r="AN206" s="111"/>
      <c r="AO206" s="111"/>
      <c r="AP206" s="111"/>
      <c r="AQ206" s="111"/>
      <c r="AR206" s="111"/>
      <c r="AS206" s="111"/>
      <c r="AW206" s="8" t="s">
        <v>120</v>
      </c>
      <c r="AY206" s="8" t="s">
        <v>116</v>
      </c>
      <c r="AZ206" s="8" t="s">
        <v>67</v>
      </c>
      <c r="BD206" s="8" t="s">
        <v>115</v>
      </c>
      <c r="BJ206" s="51" t="e">
        <f>IF(#REF!="základní",N206,0)</f>
        <v>#REF!</v>
      </c>
      <c r="BK206" s="51" t="e">
        <f>IF(#REF!="snížená",N206,0)</f>
        <v>#REF!</v>
      </c>
      <c r="BL206" s="51" t="e">
        <f>IF(#REF!="zákl. přenesená",N206,0)</f>
        <v>#REF!</v>
      </c>
      <c r="BM206" s="51" t="e">
        <f>IF(#REF!="sníž. přenesená",N206,0)</f>
        <v>#REF!</v>
      </c>
      <c r="BN206" s="51" t="e">
        <f>IF(#REF!="nulová",N206,0)</f>
        <v>#REF!</v>
      </c>
      <c r="BO206" s="8" t="s">
        <v>56</v>
      </c>
      <c r="BP206" s="51">
        <f t="shared" si="19"/>
        <v>0</v>
      </c>
      <c r="BQ206" s="8" t="s">
        <v>120</v>
      </c>
      <c r="BR206" s="8" t="s">
        <v>241</v>
      </c>
    </row>
    <row r="207" spans="2:70" s="16" customFormat="1" ht="25.5" customHeight="1">
      <c r="B207" s="17"/>
      <c r="C207" s="87">
        <f t="shared" si="20"/>
        <v>67</v>
      </c>
      <c r="D207" s="87" t="s">
        <v>116</v>
      </c>
      <c r="E207" s="88" t="s">
        <v>242</v>
      </c>
      <c r="F207" s="192" t="s">
        <v>243</v>
      </c>
      <c r="G207" s="192"/>
      <c r="H207" s="192"/>
      <c r="I207" s="192"/>
      <c r="J207" s="89" t="s">
        <v>119</v>
      </c>
      <c r="K207" s="90">
        <v>1498.664</v>
      </c>
      <c r="L207" s="193"/>
      <c r="M207" s="194"/>
      <c r="N207" s="195">
        <f t="shared" si="18"/>
        <v>0</v>
      </c>
      <c r="O207" s="195"/>
      <c r="P207" s="195"/>
      <c r="Q207" s="195"/>
      <c r="R207" s="19"/>
      <c r="S207" s="111"/>
      <c r="T207" s="111"/>
      <c r="U207" s="111"/>
      <c r="V207" s="111"/>
      <c r="W207" s="111"/>
      <c r="X207" s="111"/>
      <c r="Y207" s="111"/>
      <c r="Z207" s="111"/>
      <c r="AA207" s="111"/>
      <c r="AB207" s="111"/>
      <c r="AC207" s="111"/>
      <c r="AD207" s="111"/>
      <c r="AE207" s="111"/>
      <c r="AF207" s="111"/>
      <c r="AG207" s="111"/>
      <c r="AH207" s="111"/>
      <c r="AI207" s="111"/>
      <c r="AJ207" s="111"/>
      <c r="AK207" s="111"/>
      <c r="AL207" s="111"/>
      <c r="AM207" s="111"/>
      <c r="AN207" s="111"/>
      <c r="AO207" s="111"/>
      <c r="AP207" s="111"/>
      <c r="AQ207" s="111"/>
      <c r="AR207" s="111"/>
      <c r="AS207" s="111"/>
      <c r="AW207" s="8" t="s">
        <v>120</v>
      </c>
      <c r="AY207" s="8" t="s">
        <v>116</v>
      </c>
      <c r="AZ207" s="8" t="s">
        <v>67</v>
      </c>
      <c r="BD207" s="8" t="s">
        <v>115</v>
      </c>
      <c r="BJ207" s="51" t="e">
        <f>IF(#REF!="základní",N207,0)</f>
        <v>#REF!</v>
      </c>
      <c r="BK207" s="51" t="e">
        <f>IF(#REF!="snížená",N207,0)</f>
        <v>#REF!</v>
      </c>
      <c r="BL207" s="51" t="e">
        <f>IF(#REF!="zákl. přenesená",N207,0)</f>
        <v>#REF!</v>
      </c>
      <c r="BM207" s="51" t="e">
        <f>IF(#REF!="sníž. přenesená",N207,0)</f>
        <v>#REF!</v>
      </c>
      <c r="BN207" s="51" t="e">
        <f>IF(#REF!="nulová",N207,0)</f>
        <v>#REF!</v>
      </c>
      <c r="BO207" s="8" t="s">
        <v>56</v>
      </c>
      <c r="BP207" s="51">
        <f t="shared" si="19"/>
        <v>0</v>
      </c>
      <c r="BQ207" s="8" t="s">
        <v>120</v>
      </c>
      <c r="BR207" s="8" t="s">
        <v>244</v>
      </c>
    </row>
    <row r="208" spans="2:70" s="77" customFormat="1" ht="29.85" customHeight="1">
      <c r="B208" s="76"/>
      <c r="D208" s="86" t="s">
        <v>87</v>
      </c>
      <c r="E208" s="86"/>
      <c r="F208" s="86"/>
      <c r="G208" s="86"/>
      <c r="H208" s="86"/>
      <c r="I208" s="86"/>
      <c r="J208" s="86"/>
      <c r="K208" s="86"/>
      <c r="L208" s="86"/>
      <c r="M208" s="86"/>
      <c r="N208" s="202">
        <f>SUM(N209:Q213)</f>
        <v>0</v>
      </c>
      <c r="O208" s="203"/>
      <c r="P208" s="203"/>
      <c r="Q208" s="203"/>
      <c r="R208" s="79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W208" s="83" t="s">
        <v>56</v>
      </c>
      <c r="AY208" s="84" t="s">
        <v>53</v>
      </c>
      <c r="AZ208" s="84" t="s">
        <v>56</v>
      </c>
      <c r="BD208" s="83" t="s">
        <v>115</v>
      </c>
      <c r="BP208" s="56">
        <f>SUM(BP209:BP213)</f>
        <v>0</v>
      </c>
    </row>
    <row r="209" spans="2:70" s="16" customFormat="1" ht="38.25" customHeight="1">
      <c r="B209" s="17"/>
      <c r="C209" s="87">
        <f>+C207+1</f>
        <v>68</v>
      </c>
      <c r="D209" s="87" t="s">
        <v>116</v>
      </c>
      <c r="E209" s="88" t="s">
        <v>245</v>
      </c>
      <c r="F209" s="192" t="s">
        <v>246</v>
      </c>
      <c r="G209" s="192"/>
      <c r="H209" s="192"/>
      <c r="I209" s="192"/>
      <c r="J209" s="89" t="s">
        <v>247</v>
      </c>
      <c r="K209" s="90">
        <v>98.31</v>
      </c>
      <c r="L209" s="193"/>
      <c r="M209" s="194"/>
      <c r="N209" s="195">
        <f t="shared" ref="N209:N213" si="21">ROUND(L209*K209,2)</f>
        <v>0</v>
      </c>
      <c r="O209" s="195"/>
      <c r="P209" s="195"/>
      <c r="Q209" s="195"/>
      <c r="R209" s="19"/>
      <c r="S209" s="111"/>
      <c r="T209" s="111"/>
      <c r="U209" s="111"/>
      <c r="V209" s="111"/>
      <c r="W209" s="111"/>
      <c r="X209" s="111"/>
      <c r="Y209" s="111"/>
      <c r="Z209" s="111"/>
      <c r="AA209" s="111"/>
      <c r="AB209" s="111"/>
      <c r="AC209" s="111"/>
      <c r="AD209" s="111"/>
      <c r="AE209" s="111"/>
      <c r="AF209" s="111"/>
      <c r="AG209" s="111"/>
      <c r="AH209" s="111"/>
      <c r="AI209" s="111"/>
      <c r="AJ209" s="111"/>
      <c r="AK209" s="111"/>
      <c r="AL209" s="111"/>
      <c r="AM209" s="111"/>
      <c r="AN209" s="111"/>
      <c r="AO209" s="111"/>
      <c r="AP209" s="111"/>
      <c r="AQ209" s="111"/>
      <c r="AR209" s="111"/>
      <c r="AS209" s="111"/>
      <c r="AW209" s="8" t="s">
        <v>120</v>
      </c>
      <c r="AY209" s="8" t="s">
        <v>116</v>
      </c>
      <c r="AZ209" s="8" t="s">
        <v>67</v>
      </c>
      <c r="BD209" s="8" t="s">
        <v>115</v>
      </c>
      <c r="BJ209" s="51" t="e">
        <f>IF(#REF!="základní",N209,0)</f>
        <v>#REF!</v>
      </c>
      <c r="BK209" s="51" t="e">
        <f>IF(#REF!="snížená",N209,0)</f>
        <v>#REF!</v>
      </c>
      <c r="BL209" s="51" t="e">
        <f>IF(#REF!="zákl. přenesená",N209,0)</f>
        <v>#REF!</v>
      </c>
      <c r="BM209" s="51" t="e">
        <f>IF(#REF!="sníž. přenesená",N209,0)</f>
        <v>#REF!</v>
      </c>
      <c r="BN209" s="51" t="e">
        <f>IF(#REF!="nulová",N209,0)</f>
        <v>#REF!</v>
      </c>
      <c r="BO209" s="8" t="s">
        <v>56</v>
      </c>
      <c r="BP209" s="51">
        <f>ROUND(L209*K209,2)</f>
        <v>0</v>
      </c>
      <c r="BQ209" s="8" t="s">
        <v>120</v>
      </c>
      <c r="BR209" s="8" t="s">
        <v>248</v>
      </c>
    </row>
    <row r="210" spans="2:70" s="16" customFormat="1" ht="38.25" customHeight="1">
      <c r="B210" s="17"/>
      <c r="C210" s="87">
        <f t="shared" ref="C210:C213" si="22">+C208+1</f>
        <v>1</v>
      </c>
      <c r="D210" s="87" t="s">
        <v>116</v>
      </c>
      <c r="E210" s="88" t="s">
        <v>249</v>
      </c>
      <c r="F210" s="192" t="s">
        <v>250</v>
      </c>
      <c r="G210" s="192"/>
      <c r="H210" s="192"/>
      <c r="I210" s="192"/>
      <c r="J210" s="89" t="s">
        <v>247</v>
      </c>
      <c r="K210" s="90">
        <v>98.31</v>
      </c>
      <c r="L210" s="193"/>
      <c r="M210" s="194"/>
      <c r="N210" s="195">
        <f t="shared" si="21"/>
        <v>0</v>
      </c>
      <c r="O210" s="195"/>
      <c r="P210" s="195"/>
      <c r="Q210" s="195"/>
      <c r="R210" s="19"/>
      <c r="S210" s="111"/>
      <c r="T210" s="111"/>
      <c r="U210" s="111"/>
      <c r="V210" s="111"/>
      <c r="W210" s="111"/>
      <c r="X210" s="111"/>
      <c r="Y210" s="111"/>
      <c r="Z210" s="111"/>
      <c r="AA210" s="111"/>
      <c r="AB210" s="111"/>
      <c r="AC210" s="111"/>
      <c r="AD210" s="111"/>
      <c r="AE210" s="111"/>
      <c r="AF210" s="111"/>
      <c r="AG210" s="111"/>
      <c r="AH210" s="111"/>
      <c r="AI210" s="111"/>
      <c r="AJ210" s="111"/>
      <c r="AK210" s="111"/>
      <c r="AL210" s="111"/>
      <c r="AM210" s="111"/>
      <c r="AN210" s="111"/>
      <c r="AO210" s="111"/>
      <c r="AP210" s="111"/>
      <c r="AQ210" s="111"/>
      <c r="AR210" s="111"/>
      <c r="AS210" s="111"/>
      <c r="AW210" s="8" t="s">
        <v>120</v>
      </c>
      <c r="AY210" s="8" t="s">
        <v>116</v>
      </c>
      <c r="AZ210" s="8" t="s">
        <v>67</v>
      </c>
      <c r="BD210" s="8" t="s">
        <v>115</v>
      </c>
      <c r="BJ210" s="51" t="e">
        <f>IF(#REF!="základní",N210,0)</f>
        <v>#REF!</v>
      </c>
      <c r="BK210" s="51" t="e">
        <f>IF(#REF!="snížená",N210,0)</f>
        <v>#REF!</v>
      </c>
      <c r="BL210" s="51" t="e">
        <f>IF(#REF!="zákl. přenesená",N210,0)</f>
        <v>#REF!</v>
      </c>
      <c r="BM210" s="51" t="e">
        <f>IF(#REF!="sníž. přenesená",N210,0)</f>
        <v>#REF!</v>
      </c>
      <c r="BN210" s="51" t="e">
        <f>IF(#REF!="nulová",N210,0)</f>
        <v>#REF!</v>
      </c>
      <c r="BO210" s="8" t="s">
        <v>56</v>
      </c>
      <c r="BP210" s="51">
        <f>ROUND(L210*K210,2)</f>
        <v>0</v>
      </c>
      <c r="BQ210" s="8" t="s">
        <v>120</v>
      </c>
      <c r="BR210" s="8" t="s">
        <v>251</v>
      </c>
    </row>
    <row r="211" spans="2:70" s="16" customFormat="1" ht="38.25" customHeight="1">
      <c r="B211" s="17"/>
      <c r="C211" s="87">
        <f t="shared" si="22"/>
        <v>69</v>
      </c>
      <c r="D211" s="87" t="s">
        <v>116</v>
      </c>
      <c r="E211" s="88" t="s">
        <v>495</v>
      </c>
      <c r="F211" s="192" t="s">
        <v>496</v>
      </c>
      <c r="G211" s="192"/>
      <c r="H211" s="192"/>
      <c r="I211" s="192"/>
      <c r="J211" s="89" t="s">
        <v>247</v>
      </c>
      <c r="K211" s="90">
        <f>+K210</f>
        <v>98.31</v>
      </c>
      <c r="L211" s="193"/>
      <c r="M211" s="194"/>
      <c r="N211" s="195">
        <f t="shared" si="21"/>
        <v>0</v>
      </c>
      <c r="O211" s="195"/>
      <c r="P211" s="195"/>
      <c r="Q211" s="195"/>
      <c r="R211" s="19"/>
      <c r="S211" s="111"/>
      <c r="T211" s="111"/>
      <c r="U211" s="111"/>
      <c r="V211" s="111"/>
      <c r="W211" s="111"/>
      <c r="X211" s="111"/>
      <c r="Y211" s="111"/>
      <c r="Z211" s="111"/>
      <c r="AA211" s="111"/>
      <c r="AB211" s="111"/>
      <c r="AC211" s="111"/>
      <c r="AD211" s="111"/>
      <c r="AE211" s="111"/>
      <c r="AF211" s="111"/>
      <c r="AG211" s="111"/>
      <c r="AH211" s="111"/>
      <c r="AI211" s="111"/>
      <c r="AJ211" s="111"/>
      <c r="AK211" s="111"/>
      <c r="AL211" s="111"/>
      <c r="AM211" s="111"/>
      <c r="AN211" s="111"/>
      <c r="AO211" s="111"/>
      <c r="AP211" s="111"/>
      <c r="AQ211" s="111"/>
      <c r="AR211" s="111"/>
      <c r="AS211" s="111"/>
      <c r="AW211" s="8" t="s">
        <v>120</v>
      </c>
      <c r="AY211" s="8" t="s">
        <v>116</v>
      </c>
      <c r="AZ211" s="8" t="s">
        <v>67</v>
      </c>
      <c r="BD211" s="8" t="s">
        <v>115</v>
      </c>
      <c r="BJ211" s="51" t="e">
        <f>IF(#REF!="základní",N211,0)</f>
        <v>#REF!</v>
      </c>
      <c r="BK211" s="51" t="e">
        <f>IF(#REF!="snížená",N211,0)</f>
        <v>#REF!</v>
      </c>
      <c r="BL211" s="51" t="e">
        <f>IF(#REF!="zákl. přenesená",N211,0)</f>
        <v>#REF!</v>
      </c>
      <c r="BM211" s="51" t="e">
        <f>IF(#REF!="sníž. přenesená",N211,0)</f>
        <v>#REF!</v>
      </c>
      <c r="BN211" s="51" t="e">
        <f>IF(#REF!="nulová",N211,0)</f>
        <v>#REF!</v>
      </c>
      <c r="BO211" s="8" t="s">
        <v>56</v>
      </c>
      <c r="BP211" s="51">
        <f>ROUND(L211*K211,2)</f>
        <v>0</v>
      </c>
      <c r="BQ211" s="8" t="s">
        <v>120</v>
      </c>
      <c r="BR211" s="8" t="s">
        <v>370</v>
      </c>
    </row>
    <row r="212" spans="2:70" s="16" customFormat="1" ht="38.25" customHeight="1">
      <c r="B212" s="17"/>
      <c r="C212" s="87">
        <f t="shared" si="22"/>
        <v>2</v>
      </c>
      <c r="D212" s="87" t="s">
        <v>116</v>
      </c>
      <c r="E212" s="88" t="s">
        <v>493</v>
      </c>
      <c r="F212" s="192" t="s">
        <v>487</v>
      </c>
      <c r="G212" s="192"/>
      <c r="H212" s="192"/>
      <c r="I212" s="192"/>
      <c r="J212" s="89" t="s">
        <v>247</v>
      </c>
      <c r="K212" s="90">
        <f>+K211*0.3</f>
        <v>29.492999999999999</v>
      </c>
      <c r="L212" s="193"/>
      <c r="M212" s="194"/>
      <c r="N212" s="195">
        <f t="shared" si="21"/>
        <v>0</v>
      </c>
      <c r="O212" s="195"/>
      <c r="P212" s="195"/>
      <c r="Q212" s="195"/>
      <c r="R212" s="19"/>
      <c r="S212" s="111"/>
      <c r="T212" s="111"/>
      <c r="U212" s="111"/>
      <c r="V212" s="111"/>
      <c r="W212" s="111"/>
      <c r="X212" s="111"/>
      <c r="Y212" s="111"/>
      <c r="Z212" s="111"/>
      <c r="AA212" s="111"/>
      <c r="AB212" s="111"/>
      <c r="AC212" s="111"/>
      <c r="AD212" s="111"/>
      <c r="AE212" s="111"/>
      <c r="AF212" s="111"/>
      <c r="AG212" s="111"/>
      <c r="AH212" s="111"/>
      <c r="AI212" s="111"/>
      <c r="AJ212" s="111"/>
      <c r="AK212" s="111"/>
      <c r="AL212" s="111"/>
      <c r="AM212" s="111"/>
      <c r="AN212" s="111"/>
      <c r="AO212" s="111"/>
      <c r="AP212" s="111"/>
      <c r="AQ212" s="111"/>
      <c r="AR212" s="111"/>
      <c r="AS212" s="111"/>
      <c r="AW212" s="8" t="s">
        <v>120</v>
      </c>
      <c r="AY212" s="8" t="s">
        <v>116</v>
      </c>
      <c r="AZ212" s="8" t="s">
        <v>67</v>
      </c>
      <c r="BD212" s="8" t="s">
        <v>115</v>
      </c>
      <c r="BJ212" s="51" t="e">
        <f>IF(#REF!="základní",N212,0)</f>
        <v>#REF!</v>
      </c>
      <c r="BK212" s="51" t="e">
        <f>IF(#REF!="snížená",N212,0)</f>
        <v>#REF!</v>
      </c>
      <c r="BL212" s="51" t="e">
        <f>IF(#REF!="zákl. přenesená",N212,0)</f>
        <v>#REF!</v>
      </c>
      <c r="BM212" s="51" t="e">
        <f>IF(#REF!="sníž. přenesená",N212,0)</f>
        <v>#REF!</v>
      </c>
      <c r="BN212" s="51" t="e">
        <f>IF(#REF!="nulová",N212,0)</f>
        <v>#REF!</v>
      </c>
      <c r="BO212" s="8" t="s">
        <v>56</v>
      </c>
      <c r="BP212" s="51">
        <f>ROUND(L212*K212,2)</f>
        <v>0</v>
      </c>
      <c r="BQ212" s="8" t="s">
        <v>120</v>
      </c>
      <c r="BR212" s="8" t="s">
        <v>369</v>
      </c>
    </row>
    <row r="213" spans="2:70" s="16" customFormat="1" ht="87.75" customHeight="1">
      <c r="B213" s="17"/>
      <c r="C213" s="87">
        <f t="shared" si="22"/>
        <v>70</v>
      </c>
      <c r="D213" s="87" t="s">
        <v>116</v>
      </c>
      <c r="E213" s="88" t="s">
        <v>494</v>
      </c>
      <c r="F213" s="192" t="s">
        <v>488</v>
      </c>
      <c r="G213" s="192"/>
      <c r="H213" s="192"/>
      <c r="I213" s="192"/>
      <c r="J213" s="89" t="s">
        <v>247</v>
      </c>
      <c r="K213" s="90">
        <f>+K211*0.7</f>
        <v>68.816999999999993</v>
      </c>
      <c r="L213" s="193"/>
      <c r="M213" s="194"/>
      <c r="N213" s="195">
        <f t="shared" si="21"/>
        <v>0</v>
      </c>
      <c r="O213" s="195"/>
      <c r="P213" s="195"/>
      <c r="Q213" s="195"/>
      <c r="R213" s="19"/>
      <c r="S213" s="111"/>
      <c r="T213" s="111"/>
      <c r="U213" s="111"/>
      <c r="V213" s="111"/>
      <c r="W213" s="111"/>
      <c r="X213" s="111"/>
      <c r="Y213" s="111"/>
      <c r="Z213" s="111"/>
      <c r="AA213" s="111"/>
      <c r="AB213" s="111"/>
      <c r="AC213" s="111"/>
      <c r="AD213" s="111"/>
      <c r="AE213" s="111"/>
      <c r="AF213" s="111"/>
      <c r="AG213" s="111"/>
      <c r="AH213" s="111"/>
      <c r="AI213" s="111"/>
      <c r="AJ213" s="111"/>
      <c r="AK213" s="111"/>
      <c r="AL213" s="111"/>
      <c r="AM213" s="111"/>
      <c r="AN213" s="111"/>
      <c r="AO213" s="111"/>
      <c r="AP213" s="111"/>
      <c r="AQ213" s="111"/>
      <c r="AR213" s="111"/>
      <c r="AS213" s="111"/>
      <c r="AW213" s="8" t="s">
        <v>120</v>
      </c>
      <c r="AY213" s="8" t="s">
        <v>116</v>
      </c>
      <c r="AZ213" s="8" t="s">
        <v>67</v>
      </c>
      <c r="BD213" s="8" t="s">
        <v>115</v>
      </c>
      <c r="BJ213" s="51" t="e">
        <f>IF(#REF!="základní",N213,0)</f>
        <v>#REF!</v>
      </c>
      <c r="BK213" s="51" t="e">
        <f>IF(#REF!="snížená",N213,0)</f>
        <v>#REF!</v>
      </c>
      <c r="BL213" s="51" t="e">
        <f>IF(#REF!="zákl. přenesená",N213,0)</f>
        <v>#REF!</v>
      </c>
      <c r="BM213" s="51" t="e">
        <f>IF(#REF!="sníž. přenesená",N213,0)</f>
        <v>#REF!</v>
      </c>
      <c r="BN213" s="51" t="e">
        <f>IF(#REF!="nulová",N213,0)</f>
        <v>#REF!</v>
      </c>
      <c r="BO213" s="8" t="s">
        <v>56</v>
      </c>
      <c r="BP213" s="51">
        <f>ROUND(L213*K213,2)</f>
        <v>0</v>
      </c>
      <c r="BQ213" s="8" t="s">
        <v>120</v>
      </c>
      <c r="BR213" s="8" t="s">
        <v>370</v>
      </c>
    </row>
    <row r="214" spans="2:70" s="77" customFormat="1" ht="29.85" customHeight="1">
      <c r="B214" s="76"/>
      <c r="D214" s="86" t="s">
        <v>88</v>
      </c>
      <c r="E214" s="86"/>
      <c r="F214" s="86"/>
      <c r="G214" s="86"/>
      <c r="H214" s="86"/>
      <c r="I214" s="86"/>
      <c r="J214" s="86"/>
      <c r="K214" s="86"/>
      <c r="L214" s="86"/>
      <c r="M214" s="86"/>
      <c r="N214" s="202">
        <f>SUM(N215)</f>
        <v>0</v>
      </c>
      <c r="O214" s="203"/>
      <c r="P214" s="203"/>
      <c r="Q214" s="203"/>
      <c r="R214" s="79"/>
      <c r="S214" s="111"/>
      <c r="T214" s="111"/>
      <c r="U214" s="111"/>
      <c r="V214" s="111"/>
      <c r="W214" s="111"/>
      <c r="X214" s="111"/>
      <c r="Y214" s="111"/>
      <c r="Z214" s="111"/>
      <c r="AA214" s="111"/>
      <c r="AB214" s="111"/>
      <c r="AC214" s="111"/>
      <c r="AD214" s="111"/>
      <c r="AE214" s="111"/>
      <c r="AF214" s="111"/>
      <c r="AG214" s="111"/>
      <c r="AH214" s="111"/>
      <c r="AI214" s="111"/>
      <c r="AJ214" s="111"/>
      <c r="AK214" s="111"/>
      <c r="AL214" s="111"/>
      <c r="AM214" s="111"/>
      <c r="AN214" s="111"/>
      <c r="AO214" s="111"/>
      <c r="AP214" s="111"/>
      <c r="AQ214" s="111"/>
      <c r="AR214" s="111"/>
      <c r="AS214" s="111"/>
      <c r="AW214" s="83" t="s">
        <v>56</v>
      </c>
      <c r="AY214" s="84" t="s">
        <v>53</v>
      </c>
      <c r="AZ214" s="84" t="s">
        <v>56</v>
      </c>
      <c r="BD214" s="83" t="s">
        <v>115</v>
      </c>
      <c r="BP214" s="56">
        <f>BP215</f>
        <v>0</v>
      </c>
    </row>
    <row r="215" spans="2:70" s="16" customFormat="1" ht="25.5" customHeight="1">
      <c r="B215" s="17"/>
      <c r="C215" s="87">
        <f>+C213+1</f>
        <v>71</v>
      </c>
      <c r="D215" s="87" t="s">
        <v>116</v>
      </c>
      <c r="E215" s="88" t="s">
        <v>252</v>
      </c>
      <c r="F215" s="192" t="s">
        <v>253</v>
      </c>
      <c r="G215" s="192"/>
      <c r="H215" s="192"/>
      <c r="I215" s="192"/>
      <c r="J215" s="89" t="s">
        <v>247</v>
      </c>
      <c r="K215" s="90">
        <v>226.24</v>
      </c>
      <c r="L215" s="193"/>
      <c r="M215" s="194"/>
      <c r="N215" s="195">
        <f>ROUND(L215*K215,2)</f>
        <v>0</v>
      </c>
      <c r="O215" s="195"/>
      <c r="P215" s="195"/>
      <c r="Q215" s="195"/>
      <c r="R215" s="19"/>
      <c r="S215" s="111"/>
      <c r="T215" s="111"/>
      <c r="U215" s="111"/>
      <c r="V215" s="111"/>
      <c r="W215" s="111"/>
      <c r="X215" s="111"/>
      <c r="Y215" s="111"/>
      <c r="Z215" s="111"/>
      <c r="AA215" s="111"/>
      <c r="AB215" s="111"/>
      <c r="AC215" s="111"/>
      <c r="AD215" s="111"/>
      <c r="AE215" s="111"/>
      <c r="AF215" s="111"/>
      <c r="AG215" s="111"/>
      <c r="AH215" s="111"/>
      <c r="AI215" s="111"/>
      <c r="AJ215" s="111"/>
      <c r="AK215" s="111"/>
      <c r="AL215" s="111"/>
      <c r="AM215" s="111"/>
      <c r="AN215" s="111"/>
      <c r="AO215" s="111"/>
      <c r="AP215" s="111"/>
      <c r="AQ215" s="111"/>
      <c r="AR215" s="111"/>
      <c r="AS215" s="111"/>
      <c r="AW215" s="8" t="s">
        <v>120</v>
      </c>
      <c r="AY215" s="8" t="s">
        <v>116</v>
      </c>
      <c r="AZ215" s="8" t="s">
        <v>67</v>
      </c>
      <c r="BD215" s="8" t="s">
        <v>115</v>
      </c>
      <c r="BJ215" s="51" t="e">
        <f>IF(#REF!="základní",N215,0)</f>
        <v>#REF!</v>
      </c>
      <c r="BK215" s="51" t="e">
        <f>IF(#REF!="snížená",N215,0)</f>
        <v>#REF!</v>
      </c>
      <c r="BL215" s="51" t="e">
        <f>IF(#REF!="zákl. přenesená",N215,0)</f>
        <v>#REF!</v>
      </c>
      <c r="BM215" s="51" t="e">
        <f>IF(#REF!="sníž. přenesená",N215,0)</f>
        <v>#REF!</v>
      </c>
      <c r="BN215" s="51" t="e">
        <f>IF(#REF!="nulová",N215,0)</f>
        <v>#REF!</v>
      </c>
      <c r="BO215" s="8" t="s">
        <v>56</v>
      </c>
      <c r="BP215" s="51">
        <f>ROUND(L215*K215,2)</f>
        <v>0</v>
      </c>
      <c r="BQ215" s="8" t="s">
        <v>120</v>
      </c>
      <c r="BR215" s="8" t="s">
        <v>254</v>
      </c>
    </row>
    <row r="216" spans="2:70" s="77" customFormat="1" ht="37.35" customHeight="1">
      <c r="B216" s="76"/>
      <c r="D216" s="78" t="s">
        <v>89</v>
      </c>
      <c r="E216" s="78"/>
      <c r="F216" s="78"/>
      <c r="G216" s="78"/>
      <c r="H216" s="78"/>
      <c r="I216" s="78"/>
      <c r="J216" s="78"/>
      <c r="K216" s="78"/>
      <c r="L216" s="78"/>
      <c r="M216" s="78"/>
      <c r="N216" s="196">
        <f>+N217+N221+N229+N243+N248+N254</f>
        <v>0</v>
      </c>
      <c r="O216" s="197"/>
      <c r="P216" s="197"/>
      <c r="Q216" s="197"/>
      <c r="R216" s="79"/>
      <c r="S216" s="111"/>
      <c r="T216" s="111"/>
      <c r="U216" s="111"/>
      <c r="V216" s="111"/>
      <c r="W216" s="111"/>
      <c r="X216" s="111"/>
      <c r="Y216" s="111"/>
      <c r="Z216" s="111"/>
      <c r="AA216" s="111"/>
      <c r="AB216" s="111"/>
      <c r="AC216" s="111"/>
      <c r="AD216" s="111"/>
      <c r="AE216" s="111"/>
      <c r="AF216" s="111"/>
      <c r="AG216" s="111"/>
      <c r="AH216" s="111"/>
      <c r="AI216" s="111"/>
      <c r="AJ216" s="111"/>
      <c r="AK216" s="111"/>
      <c r="AL216" s="111"/>
      <c r="AM216" s="111"/>
      <c r="AN216" s="111"/>
      <c r="AO216" s="111"/>
      <c r="AP216" s="111"/>
      <c r="AQ216" s="111"/>
      <c r="AR216" s="111"/>
      <c r="AS216" s="111"/>
      <c r="AW216" s="83" t="s">
        <v>67</v>
      </c>
      <c r="AY216" s="84" t="s">
        <v>53</v>
      </c>
      <c r="AZ216" s="84" t="s">
        <v>54</v>
      </c>
      <c r="BD216" s="83" t="s">
        <v>115</v>
      </c>
      <c r="BP216" s="56" t="e">
        <f>BP217+BP221+BP229+BP243+BP248+BP254+#REF!</f>
        <v>#REF!</v>
      </c>
    </row>
    <row r="217" spans="2:70" s="77" customFormat="1" ht="19.95" customHeight="1">
      <c r="B217" s="76"/>
      <c r="D217" s="86" t="s">
        <v>90</v>
      </c>
      <c r="E217" s="86"/>
      <c r="F217" s="86"/>
      <c r="G217" s="86"/>
      <c r="H217" s="86"/>
      <c r="I217" s="86"/>
      <c r="J217" s="86"/>
      <c r="K217" s="86"/>
      <c r="L217" s="86"/>
      <c r="M217" s="86"/>
      <c r="N217" s="200">
        <f>SUM(N218:Q220)</f>
        <v>0</v>
      </c>
      <c r="O217" s="201"/>
      <c r="P217" s="201"/>
      <c r="Q217" s="201"/>
      <c r="R217" s="79"/>
      <c r="S217" s="111"/>
      <c r="T217" s="111"/>
      <c r="U217" s="111"/>
      <c r="V217" s="111"/>
      <c r="W217" s="111"/>
      <c r="X217" s="111"/>
      <c r="Y217" s="111"/>
      <c r="Z217" s="111"/>
      <c r="AA217" s="111"/>
      <c r="AB217" s="111"/>
      <c r="AC217" s="111"/>
      <c r="AD217" s="111"/>
      <c r="AE217" s="111"/>
      <c r="AF217" s="111"/>
      <c r="AG217" s="111"/>
      <c r="AH217" s="111"/>
      <c r="AI217" s="111"/>
      <c r="AJ217" s="111"/>
      <c r="AK217" s="111"/>
      <c r="AL217" s="111"/>
      <c r="AM217" s="111"/>
      <c r="AN217" s="111"/>
      <c r="AO217" s="111"/>
      <c r="AP217" s="111"/>
      <c r="AQ217" s="111"/>
      <c r="AR217" s="111"/>
      <c r="AS217" s="111"/>
      <c r="AW217" s="83" t="s">
        <v>67</v>
      </c>
      <c r="AY217" s="84" t="s">
        <v>53</v>
      </c>
      <c r="AZ217" s="84" t="s">
        <v>56</v>
      </c>
      <c r="BD217" s="83" t="s">
        <v>115</v>
      </c>
      <c r="BP217" s="56">
        <f>SUM(BP218:BP220)</f>
        <v>0</v>
      </c>
    </row>
    <row r="218" spans="2:70" s="16" customFormat="1" ht="25.5" customHeight="1">
      <c r="B218" s="17"/>
      <c r="C218" s="87">
        <f>+C215+1</f>
        <v>72</v>
      </c>
      <c r="D218" s="87" t="s">
        <v>116</v>
      </c>
      <c r="E218" s="88" t="s">
        <v>602</v>
      </c>
      <c r="F218" s="192" t="s">
        <v>586</v>
      </c>
      <c r="G218" s="192"/>
      <c r="H218" s="192"/>
      <c r="I218" s="192"/>
      <c r="J218" s="89" t="s">
        <v>138</v>
      </c>
      <c r="K218" s="90">
        <v>1</v>
      </c>
      <c r="L218" s="193"/>
      <c r="M218" s="194"/>
      <c r="N218" s="195">
        <f>ROUND(L218*K218,2)</f>
        <v>0</v>
      </c>
      <c r="O218" s="195"/>
      <c r="P218" s="195"/>
      <c r="Q218" s="195"/>
      <c r="R218" s="19"/>
      <c r="S218" s="111"/>
      <c r="T218" s="111"/>
      <c r="U218" s="111"/>
      <c r="V218" s="111"/>
      <c r="W218" s="111"/>
      <c r="X218" s="111"/>
      <c r="Y218" s="111"/>
      <c r="Z218" s="111"/>
      <c r="AA218" s="111"/>
      <c r="AB218" s="111"/>
      <c r="AC218" s="111"/>
      <c r="AD218" s="111"/>
      <c r="AE218" s="111"/>
      <c r="AF218" s="111"/>
      <c r="AG218" s="111"/>
      <c r="AH218" s="111"/>
      <c r="AI218" s="111"/>
      <c r="AJ218" s="111"/>
      <c r="AK218" s="111"/>
      <c r="AL218" s="111"/>
      <c r="AM218" s="111"/>
      <c r="AN218" s="111"/>
      <c r="AO218" s="111"/>
      <c r="AP218" s="111"/>
      <c r="AQ218" s="111"/>
      <c r="AR218" s="111"/>
      <c r="AS218" s="111"/>
      <c r="AW218" s="8" t="s">
        <v>156</v>
      </c>
      <c r="AY218" s="8" t="s">
        <v>116</v>
      </c>
      <c r="AZ218" s="8" t="s">
        <v>67</v>
      </c>
      <c r="BD218" s="8" t="s">
        <v>115</v>
      </c>
      <c r="BJ218" s="51" t="e">
        <f>IF(#REF!="základní",N218,0)</f>
        <v>#REF!</v>
      </c>
      <c r="BK218" s="51" t="e">
        <f>IF(#REF!="snížená",N218,0)</f>
        <v>#REF!</v>
      </c>
      <c r="BL218" s="51" t="e">
        <f>IF(#REF!="zákl. přenesená",N218,0)</f>
        <v>#REF!</v>
      </c>
      <c r="BM218" s="51" t="e">
        <f>IF(#REF!="sníž. přenesená",N218,0)</f>
        <v>#REF!</v>
      </c>
      <c r="BN218" s="51" t="e">
        <f>IF(#REF!="nulová",N218,0)</f>
        <v>#REF!</v>
      </c>
      <c r="BO218" s="8" t="s">
        <v>56</v>
      </c>
      <c r="BP218" s="51">
        <f>ROUND(L218*K218,2)</f>
        <v>0</v>
      </c>
      <c r="BQ218" s="8" t="s">
        <v>156</v>
      </c>
      <c r="BR218" s="8" t="s">
        <v>255</v>
      </c>
    </row>
    <row r="219" spans="2:70" s="16" customFormat="1" ht="38.25" customHeight="1">
      <c r="B219" s="17"/>
      <c r="C219" s="87">
        <f>+C218+1</f>
        <v>73</v>
      </c>
      <c r="D219" s="87" t="s">
        <v>116</v>
      </c>
      <c r="E219" s="88" t="s">
        <v>256</v>
      </c>
      <c r="F219" s="192" t="s">
        <v>257</v>
      </c>
      <c r="G219" s="192"/>
      <c r="H219" s="192"/>
      <c r="I219" s="192"/>
      <c r="J219" s="89" t="s">
        <v>119</v>
      </c>
      <c r="K219" s="90">
        <v>133.9</v>
      </c>
      <c r="L219" s="193"/>
      <c r="M219" s="194"/>
      <c r="N219" s="195">
        <f>ROUND(L219*K219,2)</f>
        <v>0</v>
      </c>
      <c r="O219" s="195"/>
      <c r="P219" s="195"/>
      <c r="Q219" s="195"/>
      <c r="R219" s="19"/>
      <c r="S219" s="111"/>
      <c r="T219" s="111"/>
      <c r="U219" s="111"/>
      <c r="V219" s="111"/>
      <c r="W219" s="111"/>
      <c r="X219" s="111"/>
      <c r="Y219" s="111"/>
      <c r="Z219" s="111"/>
      <c r="AA219" s="111"/>
      <c r="AB219" s="111"/>
      <c r="AC219" s="111"/>
      <c r="AD219" s="111"/>
      <c r="AE219" s="111"/>
      <c r="AF219" s="111"/>
      <c r="AG219" s="111"/>
      <c r="AH219" s="111"/>
      <c r="AI219" s="111"/>
      <c r="AJ219" s="111"/>
      <c r="AK219" s="111"/>
      <c r="AL219" s="111"/>
      <c r="AM219" s="111"/>
      <c r="AN219" s="111"/>
      <c r="AO219" s="111"/>
      <c r="AP219" s="111"/>
      <c r="AQ219" s="111"/>
      <c r="AR219" s="111"/>
      <c r="AS219" s="111"/>
      <c r="AW219" s="8" t="s">
        <v>156</v>
      </c>
      <c r="AY219" s="8" t="s">
        <v>116</v>
      </c>
      <c r="AZ219" s="8" t="s">
        <v>67</v>
      </c>
      <c r="BD219" s="8" t="s">
        <v>115</v>
      </c>
      <c r="BJ219" s="51" t="e">
        <f>IF(#REF!="základní",N219,0)</f>
        <v>#REF!</v>
      </c>
      <c r="BK219" s="51" t="e">
        <f>IF(#REF!="snížená",N219,0)</f>
        <v>#REF!</v>
      </c>
      <c r="BL219" s="51" t="e">
        <f>IF(#REF!="zákl. přenesená",N219,0)</f>
        <v>#REF!</v>
      </c>
      <c r="BM219" s="51" t="e">
        <f>IF(#REF!="sníž. přenesená",N219,0)</f>
        <v>#REF!</v>
      </c>
      <c r="BN219" s="51" t="e">
        <f>IF(#REF!="nulová",N219,0)</f>
        <v>#REF!</v>
      </c>
      <c r="BO219" s="8" t="s">
        <v>56</v>
      </c>
      <c r="BP219" s="51">
        <f>ROUND(L219*K219,2)</f>
        <v>0</v>
      </c>
      <c r="BQ219" s="8" t="s">
        <v>156</v>
      </c>
      <c r="BR219" s="8" t="s">
        <v>258</v>
      </c>
    </row>
    <row r="220" spans="2:70" s="16" customFormat="1" ht="38.25" customHeight="1">
      <c r="B220" s="17"/>
      <c r="C220" s="87">
        <f t="shared" ref="C220" si="23">+C219+1</f>
        <v>74</v>
      </c>
      <c r="D220" s="87" t="s">
        <v>116</v>
      </c>
      <c r="E220" s="88" t="s">
        <v>259</v>
      </c>
      <c r="F220" s="192" t="s">
        <v>260</v>
      </c>
      <c r="G220" s="192"/>
      <c r="H220" s="192"/>
      <c r="I220" s="192"/>
      <c r="J220" s="89" t="s">
        <v>261</v>
      </c>
      <c r="K220" s="3"/>
      <c r="L220" s="193"/>
      <c r="M220" s="194"/>
      <c r="N220" s="195">
        <f>ROUND(L220*K220,2)</f>
        <v>0</v>
      </c>
      <c r="O220" s="195"/>
      <c r="P220" s="195"/>
      <c r="Q220" s="195"/>
      <c r="R220" s="19"/>
      <c r="S220" s="111"/>
      <c r="T220" s="111"/>
      <c r="U220" s="111"/>
      <c r="V220" s="111"/>
      <c r="W220" s="111"/>
      <c r="X220" s="111"/>
      <c r="Y220" s="111"/>
      <c r="Z220" s="111"/>
      <c r="AA220" s="111"/>
      <c r="AB220" s="111"/>
      <c r="AC220" s="111"/>
      <c r="AD220" s="111"/>
      <c r="AE220" s="111"/>
      <c r="AF220" s="111"/>
      <c r="AG220" s="111"/>
      <c r="AH220" s="111"/>
      <c r="AI220" s="111"/>
      <c r="AJ220" s="111"/>
      <c r="AK220" s="111"/>
      <c r="AL220" s="111"/>
      <c r="AM220" s="111"/>
      <c r="AN220" s="111"/>
      <c r="AO220" s="111"/>
      <c r="AP220" s="111"/>
      <c r="AQ220" s="111"/>
      <c r="AR220" s="111"/>
      <c r="AS220" s="111"/>
      <c r="AW220" s="8" t="s">
        <v>156</v>
      </c>
      <c r="AY220" s="8" t="s">
        <v>116</v>
      </c>
      <c r="AZ220" s="8" t="s">
        <v>67</v>
      </c>
      <c r="BD220" s="8" t="s">
        <v>115</v>
      </c>
      <c r="BJ220" s="51" t="e">
        <f>IF(#REF!="základní",N220,0)</f>
        <v>#REF!</v>
      </c>
      <c r="BK220" s="51" t="e">
        <f>IF(#REF!="snížená",N220,0)</f>
        <v>#REF!</v>
      </c>
      <c r="BL220" s="51" t="e">
        <f>IF(#REF!="zákl. přenesená",N220,0)</f>
        <v>#REF!</v>
      </c>
      <c r="BM220" s="51" t="e">
        <f>IF(#REF!="sníž. přenesená",N220,0)</f>
        <v>#REF!</v>
      </c>
      <c r="BN220" s="51" t="e">
        <f>IF(#REF!="nulová",N220,0)</f>
        <v>#REF!</v>
      </c>
      <c r="BO220" s="8" t="s">
        <v>56</v>
      </c>
      <c r="BP220" s="51">
        <f>ROUND(L220*K220,2)</f>
        <v>0</v>
      </c>
      <c r="BQ220" s="8" t="s">
        <v>156</v>
      </c>
      <c r="BR220" s="8" t="s">
        <v>262</v>
      </c>
    </row>
    <row r="221" spans="2:70" s="77" customFormat="1" ht="29.85" customHeight="1">
      <c r="B221" s="76"/>
      <c r="D221" s="86" t="s">
        <v>91</v>
      </c>
      <c r="E221" s="86"/>
      <c r="F221" s="86"/>
      <c r="G221" s="86"/>
      <c r="H221" s="86"/>
      <c r="I221" s="86"/>
      <c r="J221" s="86"/>
      <c r="K221" s="86"/>
      <c r="L221" s="86"/>
      <c r="M221" s="86"/>
      <c r="N221" s="202">
        <f>SUM(N222:Q228)</f>
        <v>0</v>
      </c>
      <c r="O221" s="203"/>
      <c r="P221" s="203"/>
      <c r="Q221" s="203"/>
      <c r="R221" s="79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W221" s="83" t="s">
        <v>67</v>
      </c>
      <c r="AY221" s="84" t="s">
        <v>53</v>
      </c>
      <c r="AZ221" s="84" t="s">
        <v>56</v>
      </c>
      <c r="BD221" s="83" t="s">
        <v>115</v>
      </c>
      <c r="BP221" s="56">
        <f>SUM(BP222:BP228)</f>
        <v>0</v>
      </c>
    </row>
    <row r="222" spans="2:70" s="16" customFormat="1" ht="38.25" customHeight="1">
      <c r="B222" s="17"/>
      <c r="C222" s="87">
        <f>+C220+1</f>
        <v>75</v>
      </c>
      <c r="D222" s="87" t="s">
        <v>116</v>
      </c>
      <c r="E222" s="88" t="s">
        <v>263</v>
      </c>
      <c r="F222" s="192" t="s">
        <v>264</v>
      </c>
      <c r="G222" s="192"/>
      <c r="H222" s="192"/>
      <c r="I222" s="192"/>
      <c r="J222" s="89" t="s">
        <v>119</v>
      </c>
      <c r="K222" s="90">
        <v>13.2</v>
      </c>
      <c r="L222" s="193"/>
      <c r="M222" s="194"/>
      <c r="N222" s="195">
        <f t="shared" ref="N222:N228" si="24">ROUND(L222*K222,2)</f>
        <v>0</v>
      </c>
      <c r="O222" s="195"/>
      <c r="P222" s="195"/>
      <c r="Q222" s="195"/>
      <c r="R222" s="19"/>
      <c r="S222" s="111"/>
      <c r="T222" s="111"/>
      <c r="U222" s="111"/>
      <c r="V222" s="111"/>
      <c r="W222" s="111"/>
      <c r="X222" s="111"/>
      <c r="Y222" s="111"/>
      <c r="Z222" s="111"/>
      <c r="AA222" s="111"/>
      <c r="AB222" s="111"/>
      <c r="AC222" s="111"/>
      <c r="AD222" s="111"/>
      <c r="AE222" s="111"/>
      <c r="AF222" s="111"/>
      <c r="AG222" s="111"/>
      <c r="AH222" s="111"/>
      <c r="AI222" s="111"/>
      <c r="AJ222" s="111"/>
      <c r="AK222" s="111"/>
      <c r="AL222" s="111"/>
      <c r="AM222" s="111"/>
      <c r="AN222" s="111"/>
      <c r="AO222" s="111"/>
      <c r="AP222" s="111"/>
      <c r="AQ222" s="111"/>
      <c r="AR222" s="111"/>
      <c r="AS222" s="111"/>
      <c r="AW222" s="8" t="s">
        <v>156</v>
      </c>
      <c r="AY222" s="8" t="s">
        <v>116</v>
      </c>
      <c r="AZ222" s="8" t="s">
        <v>67</v>
      </c>
      <c r="BD222" s="8" t="s">
        <v>115</v>
      </c>
      <c r="BJ222" s="51" t="e">
        <f>IF(#REF!="základní",N222,0)</f>
        <v>#REF!</v>
      </c>
      <c r="BK222" s="51" t="e">
        <f>IF(#REF!="snížená",N222,0)</f>
        <v>#REF!</v>
      </c>
      <c r="BL222" s="51" t="e">
        <f>IF(#REF!="zákl. přenesená",N222,0)</f>
        <v>#REF!</v>
      </c>
      <c r="BM222" s="51" t="e">
        <f>IF(#REF!="sníž. přenesená",N222,0)</f>
        <v>#REF!</v>
      </c>
      <c r="BN222" s="51" t="e">
        <f>IF(#REF!="nulová",N222,0)</f>
        <v>#REF!</v>
      </c>
      <c r="BO222" s="8" t="s">
        <v>56</v>
      </c>
      <c r="BP222" s="51">
        <f t="shared" ref="BP222:BP228" si="25">ROUND(L222*K222,2)</f>
        <v>0</v>
      </c>
      <c r="BQ222" s="8" t="s">
        <v>156</v>
      </c>
      <c r="BR222" s="8" t="s">
        <v>265</v>
      </c>
    </row>
    <row r="223" spans="2:70" s="16" customFormat="1" ht="25.5" customHeight="1">
      <c r="B223" s="17"/>
      <c r="C223" s="87">
        <f t="shared" ref="C223:C228" si="26">+C222+1</f>
        <v>76</v>
      </c>
      <c r="D223" s="97" t="s">
        <v>166</v>
      </c>
      <c r="E223" s="98" t="s">
        <v>266</v>
      </c>
      <c r="F223" s="198" t="s">
        <v>267</v>
      </c>
      <c r="G223" s="198"/>
      <c r="H223" s="198"/>
      <c r="I223" s="198"/>
      <c r="J223" s="99" t="s">
        <v>123</v>
      </c>
      <c r="K223" s="100">
        <v>0.94199999999999995</v>
      </c>
      <c r="L223" s="193"/>
      <c r="M223" s="194"/>
      <c r="N223" s="199">
        <f t="shared" si="24"/>
        <v>0</v>
      </c>
      <c r="O223" s="195"/>
      <c r="P223" s="195"/>
      <c r="Q223" s="195"/>
      <c r="R223" s="19"/>
      <c r="S223" s="111"/>
      <c r="T223" s="111"/>
      <c r="U223" s="111"/>
      <c r="V223" s="111"/>
      <c r="W223" s="111"/>
      <c r="X223" s="111"/>
      <c r="Y223" s="111"/>
      <c r="Z223" s="111"/>
      <c r="AA223" s="111"/>
      <c r="AB223" s="111"/>
      <c r="AC223" s="111"/>
      <c r="AD223" s="111"/>
      <c r="AE223" s="111"/>
      <c r="AF223" s="111"/>
      <c r="AG223" s="111"/>
      <c r="AH223" s="111"/>
      <c r="AI223" s="111"/>
      <c r="AJ223" s="111"/>
      <c r="AK223" s="111"/>
      <c r="AL223" s="111"/>
      <c r="AM223" s="111"/>
      <c r="AN223" s="111"/>
      <c r="AO223" s="111"/>
      <c r="AP223" s="111"/>
      <c r="AQ223" s="111"/>
      <c r="AR223" s="111"/>
      <c r="AS223" s="111"/>
      <c r="AW223" s="8" t="s">
        <v>185</v>
      </c>
      <c r="AY223" s="8" t="s">
        <v>166</v>
      </c>
      <c r="AZ223" s="8" t="s">
        <v>67</v>
      </c>
      <c r="BD223" s="8" t="s">
        <v>115</v>
      </c>
      <c r="BJ223" s="51" t="e">
        <f>IF(#REF!="základní",N223,0)</f>
        <v>#REF!</v>
      </c>
      <c r="BK223" s="51" t="e">
        <f>IF(#REF!="snížená",N223,0)</f>
        <v>#REF!</v>
      </c>
      <c r="BL223" s="51" t="e">
        <f>IF(#REF!="zákl. přenesená",N223,0)</f>
        <v>#REF!</v>
      </c>
      <c r="BM223" s="51" t="e">
        <f>IF(#REF!="sníž. přenesená",N223,0)</f>
        <v>#REF!</v>
      </c>
      <c r="BN223" s="51" t="e">
        <f>IF(#REF!="nulová",N223,0)</f>
        <v>#REF!</v>
      </c>
      <c r="BO223" s="8" t="s">
        <v>56</v>
      </c>
      <c r="BP223" s="51">
        <f t="shared" si="25"/>
        <v>0</v>
      </c>
      <c r="BQ223" s="8" t="s">
        <v>156</v>
      </c>
      <c r="BR223" s="8" t="s">
        <v>268</v>
      </c>
    </row>
    <row r="224" spans="2:70" s="16" customFormat="1" ht="25.5" customHeight="1">
      <c r="B224" s="17"/>
      <c r="C224" s="87">
        <f t="shared" si="26"/>
        <v>77</v>
      </c>
      <c r="D224" s="87" t="s">
        <v>116</v>
      </c>
      <c r="E224" s="88" t="s">
        <v>269</v>
      </c>
      <c r="F224" s="192" t="s">
        <v>270</v>
      </c>
      <c r="G224" s="192"/>
      <c r="H224" s="192"/>
      <c r="I224" s="192"/>
      <c r="J224" s="89" t="s">
        <v>119</v>
      </c>
      <c r="K224" s="90">
        <v>56.93</v>
      </c>
      <c r="L224" s="193"/>
      <c r="M224" s="194"/>
      <c r="N224" s="195">
        <f t="shared" si="24"/>
        <v>0</v>
      </c>
      <c r="O224" s="195"/>
      <c r="P224" s="195"/>
      <c r="Q224" s="195"/>
      <c r="R224" s="19"/>
      <c r="S224" s="111"/>
      <c r="T224" s="111"/>
      <c r="U224" s="111"/>
      <c r="V224" s="111"/>
      <c r="W224" s="111"/>
      <c r="X224" s="111"/>
      <c r="Y224" s="111"/>
      <c r="Z224" s="111"/>
      <c r="AA224" s="111"/>
      <c r="AB224" s="111"/>
      <c r="AC224" s="111"/>
      <c r="AD224" s="111"/>
      <c r="AE224" s="111"/>
      <c r="AF224" s="111"/>
      <c r="AG224" s="111"/>
      <c r="AH224" s="111"/>
      <c r="AI224" s="111"/>
      <c r="AJ224" s="111"/>
      <c r="AK224" s="111"/>
      <c r="AL224" s="111"/>
      <c r="AM224" s="111"/>
      <c r="AN224" s="111"/>
      <c r="AO224" s="111"/>
      <c r="AP224" s="111"/>
      <c r="AQ224" s="111"/>
      <c r="AR224" s="111"/>
      <c r="AS224" s="111"/>
      <c r="AW224" s="8" t="s">
        <v>156</v>
      </c>
      <c r="AY224" s="8" t="s">
        <v>116</v>
      </c>
      <c r="AZ224" s="8" t="s">
        <v>67</v>
      </c>
      <c r="BD224" s="8" t="s">
        <v>115</v>
      </c>
      <c r="BJ224" s="51" t="e">
        <f>IF(#REF!="základní",N224,0)</f>
        <v>#REF!</v>
      </c>
      <c r="BK224" s="51" t="e">
        <f>IF(#REF!="snížená",N224,0)</f>
        <v>#REF!</v>
      </c>
      <c r="BL224" s="51" t="e">
        <f>IF(#REF!="zákl. přenesená",N224,0)</f>
        <v>#REF!</v>
      </c>
      <c r="BM224" s="51" t="e">
        <f>IF(#REF!="sníž. přenesená",N224,0)</f>
        <v>#REF!</v>
      </c>
      <c r="BN224" s="51" t="e">
        <f>IF(#REF!="nulová",N224,0)</f>
        <v>#REF!</v>
      </c>
      <c r="BO224" s="8" t="s">
        <v>56</v>
      </c>
      <c r="BP224" s="51">
        <f t="shared" si="25"/>
        <v>0</v>
      </c>
      <c r="BQ224" s="8" t="s">
        <v>156</v>
      </c>
      <c r="BR224" s="8" t="s">
        <v>271</v>
      </c>
    </row>
    <row r="225" spans="2:70" s="16" customFormat="1" ht="25.5" customHeight="1">
      <c r="B225" s="17"/>
      <c r="C225" s="87">
        <f t="shared" si="26"/>
        <v>78</v>
      </c>
      <c r="D225" s="97" t="s">
        <v>166</v>
      </c>
      <c r="E225" s="98" t="s">
        <v>272</v>
      </c>
      <c r="F225" s="198" t="s">
        <v>273</v>
      </c>
      <c r="G225" s="198"/>
      <c r="H225" s="198"/>
      <c r="I225" s="198"/>
      <c r="J225" s="99" t="s">
        <v>123</v>
      </c>
      <c r="K225" s="100">
        <v>5.226</v>
      </c>
      <c r="L225" s="193"/>
      <c r="M225" s="194"/>
      <c r="N225" s="199">
        <f t="shared" si="24"/>
        <v>0</v>
      </c>
      <c r="O225" s="195"/>
      <c r="P225" s="195"/>
      <c r="Q225" s="195"/>
      <c r="R225" s="19"/>
      <c r="S225" s="111"/>
      <c r="T225" s="111"/>
      <c r="U225" s="111"/>
      <c r="V225" s="111"/>
      <c r="W225" s="111"/>
      <c r="X225" s="111"/>
      <c r="Y225" s="111"/>
      <c r="Z225" s="111"/>
      <c r="AA225" s="111"/>
      <c r="AB225" s="111"/>
      <c r="AC225" s="111"/>
      <c r="AD225" s="111"/>
      <c r="AE225" s="111"/>
      <c r="AF225" s="111"/>
      <c r="AG225" s="111"/>
      <c r="AH225" s="111"/>
      <c r="AI225" s="111"/>
      <c r="AJ225" s="111"/>
      <c r="AK225" s="111"/>
      <c r="AL225" s="111"/>
      <c r="AM225" s="111"/>
      <c r="AN225" s="111"/>
      <c r="AO225" s="111"/>
      <c r="AP225" s="111"/>
      <c r="AQ225" s="111"/>
      <c r="AR225" s="111"/>
      <c r="AS225" s="111"/>
      <c r="AW225" s="8" t="s">
        <v>185</v>
      </c>
      <c r="AY225" s="8" t="s">
        <v>166</v>
      </c>
      <c r="AZ225" s="8" t="s">
        <v>67</v>
      </c>
      <c r="BD225" s="8" t="s">
        <v>115</v>
      </c>
      <c r="BJ225" s="51" t="e">
        <f>IF(#REF!="základní",N225,0)</f>
        <v>#REF!</v>
      </c>
      <c r="BK225" s="51" t="e">
        <f>IF(#REF!="snížená",N225,0)</f>
        <v>#REF!</v>
      </c>
      <c r="BL225" s="51" t="e">
        <f>IF(#REF!="zákl. přenesená",N225,0)</f>
        <v>#REF!</v>
      </c>
      <c r="BM225" s="51" t="e">
        <f>IF(#REF!="sníž. přenesená",N225,0)</f>
        <v>#REF!</v>
      </c>
      <c r="BN225" s="51" t="e">
        <f>IF(#REF!="nulová",N225,0)</f>
        <v>#REF!</v>
      </c>
      <c r="BO225" s="8" t="s">
        <v>56</v>
      </c>
      <c r="BP225" s="51">
        <f t="shared" si="25"/>
        <v>0</v>
      </c>
      <c r="BQ225" s="8" t="s">
        <v>156</v>
      </c>
      <c r="BR225" s="8" t="s">
        <v>274</v>
      </c>
    </row>
    <row r="226" spans="2:70" s="16" customFormat="1" ht="38.25" customHeight="1">
      <c r="B226" s="17"/>
      <c r="C226" s="87">
        <f t="shared" si="26"/>
        <v>79</v>
      </c>
      <c r="D226" s="87" t="s">
        <v>116</v>
      </c>
      <c r="E226" s="88" t="s">
        <v>275</v>
      </c>
      <c r="F226" s="192" t="s">
        <v>276</v>
      </c>
      <c r="G226" s="192"/>
      <c r="H226" s="192"/>
      <c r="I226" s="192"/>
      <c r="J226" s="89" t="s">
        <v>119</v>
      </c>
      <c r="K226" s="90">
        <v>56.93</v>
      </c>
      <c r="L226" s="193"/>
      <c r="M226" s="194"/>
      <c r="N226" s="195">
        <f t="shared" si="24"/>
        <v>0</v>
      </c>
      <c r="O226" s="195"/>
      <c r="P226" s="195"/>
      <c r="Q226" s="195"/>
      <c r="R226" s="19"/>
      <c r="S226" s="111"/>
      <c r="T226" s="111"/>
      <c r="U226" s="111"/>
      <c r="V226" s="111"/>
      <c r="W226" s="111"/>
      <c r="X226" s="111"/>
      <c r="Y226" s="111"/>
      <c r="Z226" s="111"/>
      <c r="AA226" s="111"/>
      <c r="AB226" s="111"/>
      <c r="AC226" s="111"/>
      <c r="AD226" s="111"/>
      <c r="AE226" s="111"/>
      <c r="AF226" s="111"/>
      <c r="AG226" s="111"/>
      <c r="AH226" s="111"/>
      <c r="AI226" s="111"/>
      <c r="AJ226" s="111"/>
      <c r="AK226" s="111"/>
      <c r="AL226" s="111"/>
      <c r="AM226" s="111"/>
      <c r="AN226" s="111"/>
      <c r="AO226" s="111"/>
      <c r="AP226" s="111"/>
      <c r="AQ226" s="111"/>
      <c r="AR226" s="111"/>
      <c r="AS226" s="111"/>
      <c r="AW226" s="8" t="s">
        <v>156</v>
      </c>
      <c r="AY226" s="8" t="s">
        <v>116</v>
      </c>
      <c r="AZ226" s="8" t="s">
        <v>67</v>
      </c>
      <c r="BD226" s="8" t="s">
        <v>115</v>
      </c>
      <c r="BJ226" s="51" t="e">
        <f>IF(#REF!="základní",N226,0)</f>
        <v>#REF!</v>
      </c>
      <c r="BK226" s="51" t="e">
        <f>IF(#REF!="snížená",N226,0)</f>
        <v>#REF!</v>
      </c>
      <c r="BL226" s="51" t="e">
        <f>IF(#REF!="zákl. přenesená",N226,0)</f>
        <v>#REF!</v>
      </c>
      <c r="BM226" s="51" t="e">
        <f>IF(#REF!="sníž. přenesená",N226,0)</f>
        <v>#REF!</v>
      </c>
      <c r="BN226" s="51" t="e">
        <f>IF(#REF!="nulová",N226,0)</f>
        <v>#REF!</v>
      </c>
      <c r="BO226" s="8" t="s">
        <v>56</v>
      </c>
      <c r="BP226" s="51">
        <f t="shared" si="25"/>
        <v>0</v>
      </c>
      <c r="BQ226" s="8" t="s">
        <v>156</v>
      </c>
      <c r="BR226" s="8" t="s">
        <v>277</v>
      </c>
    </row>
    <row r="227" spans="2:70" s="16" customFormat="1" ht="16.5" customHeight="1">
      <c r="B227" s="17"/>
      <c r="C227" s="87">
        <f t="shared" si="26"/>
        <v>80</v>
      </c>
      <c r="D227" s="97" t="s">
        <v>166</v>
      </c>
      <c r="E227" s="98" t="s">
        <v>278</v>
      </c>
      <c r="F227" s="198" t="s">
        <v>279</v>
      </c>
      <c r="G227" s="198"/>
      <c r="H227" s="198"/>
      <c r="I227" s="198"/>
      <c r="J227" s="99" t="s">
        <v>119</v>
      </c>
      <c r="K227" s="100">
        <v>65.47</v>
      </c>
      <c r="L227" s="193"/>
      <c r="M227" s="194"/>
      <c r="N227" s="199">
        <f t="shared" si="24"/>
        <v>0</v>
      </c>
      <c r="O227" s="195"/>
      <c r="P227" s="195"/>
      <c r="Q227" s="195"/>
      <c r="R227" s="19"/>
      <c r="S227" s="111"/>
      <c r="T227" s="111"/>
      <c r="U227" s="111"/>
      <c r="V227" s="111"/>
      <c r="W227" s="111"/>
      <c r="X227" s="111"/>
      <c r="Y227" s="111"/>
      <c r="Z227" s="111"/>
      <c r="AA227" s="111"/>
      <c r="AB227" s="111"/>
      <c r="AC227" s="111"/>
      <c r="AD227" s="111"/>
      <c r="AE227" s="111"/>
      <c r="AF227" s="111"/>
      <c r="AG227" s="111"/>
      <c r="AH227" s="111"/>
      <c r="AI227" s="111"/>
      <c r="AJ227" s="111"/>
      <c r="AK227" s="111"/>
      <c r="AL227" s="111"/>
      <c r="AM227" s="111"/>
      <c r="AN227" s="111"/>
      <c r="AO227" s="111"/>
      <c r="AP227" s="111"/>
      <c r="AQ227" s="111"/>
      <c r="AR227" s="111"/>
      <c r="AS227" s="111"/>
      <c r="AW227" s="8" t="s">
        <v>185</v>
      </c>
      <c r="AY227" s="8" t="s">
        <v>166</v>
      </c>
      <c r="AZ227" s="8" t="s">
        <v>67</v>
      </c>
      <c r="BD227" s="8" t="s">
        <v>115</v>
      </c>
      <c r="BJ227" s="51" t="e">
        <f>IF(#REF!="základní",N227,0)</f>
        <v>#REF!</v>
      </c>
      <c r="BK227" s="51" t="e">
        <f>IF(#REF!="snížená",N227,0)</f>
        <v>#REF!</v>
      </c>
      <c r="BL227" s="51" t="e">
        <f>IF(#REF!="zákl. přenesená",N227,0)</f>
        <v>#REF!</v>
      </c>
      <c r="BM227" s="51" t="e">
        <f>IF(#REF!="sníž. přenesená",N227,0)</f>
        <v>#REF!</v>
      </c>
      <c r="BN227" s="51" t="e">
        <f>IF(#REF!="nulová",N227,0)</f>
        <v>#REF!</v>
      </c>
      <c r="BO227" s="8" t="s">
        <v>56</v>
      </c>
      <c r="BP227" s="51">
        <f t="shared" si="25"/>
        <v>0</v>
      </c>
      <c r="BQ227" s="8" t="s">
        <v>156</v>
      </c>
      <c r="BR227" s="8" t="s">
        <v>280</v>
      </c>
    </row>
    <row r="228" spans="2:70" s="16" customFormat="1" ht="25.5" customHeight="1">
      <c r="B228" s="17"/>
      <c r="C228" s="87">
        <f t="shared" si="26"/>
        <v>81</v>
      </c>
      <c r="D228" s="87" t="s">
        <v>116</v>
      </c>
      <c r="E228" s="88" t="s">
        <v>281</v>
      </c>
      <c r="F228" s="192" t="s">
        <v>282</v>
      </c>
      <c r="G228" s="192"/>
      <c r="H228" s="192"/>
      <c r="I228" s="192"/>
      <c r="J228" s="89" t="s">
        <v>261</v>
      </c>
      <c r="K228" s="3"/>
      <c r="L228" s="193"/>
      <c r="M228" s="194"/>
      <c r="N228" s="195">
        <f t="shared" si="24"/>
        <v>0</v>
      </c>
      <c r="O228" s="195"/>
      <c r="P228" s="195"/>
      <c r="Q228" s="195"/>
      <c r="R228" s="19"/>
      <c r="S228" s="111"/>
      <c r="T228" s="111"/>
      <c r="U228" s="111"/>
      <c r="V228" s="111"/>
      <c r="W228" s="111"/>
      <c r="X228" s="111"/>
      <c r="Y228" s="111"/>
      <c r="Z228" s="111"/>
      <c r="AA228" s="111"/>
      <c r="AB228" s="111"/>
      <c r="AC228" s="111"/>
      <c r="AD228" s="111"/>
      <c r="AE228" s="111"/>
      <c r="AF228" s="111"/>
      <c r="AG228" s="111"/>
      <c r="AH228" s="111"/>
      <c r="AI228" s="111"/>
      <c r="AJ228" s="111"/>
      <c r="AK228" s="111"/>
      <c r="AL228" s="111"/>
      <c r="AM228" s="111"/>
      <c r="AN228" s="111"/>
      <c r="AO228" s="111"/>
      <c r="AP228" s="111"/>
      <c r="AQ228" s="111"/>
      <c r="AR228" s="111"/>
      <c r="AS228" s="111"/>
      <c r="AW228" s="8" t="s">
        <v>156</v>
      </c>
      <c r="AY228" s="8" t="s">
        <v>116</v>
      </c>
      <c r="AZ228" s="8" t="s">
        <v>67</v>
      </c>
      <c r="BD228" s="8" t="s">
        <v>115</v>
      </c>
      <c r="BJ228" s="51" t="e">
        <f>IF(#REF!="základní",N228,0)</f>
        <v>#REF!</v>
      </c>
      <c r="BK228" s="51" t="e">
        <f>IF(#REF!="snížená",N228,0)</f>
        <v>#REF!</v>
      </c>
      <c r="BL228" s="51" t="e">
        <f>IF(#REF!="zákl. přenesená",N228,0)</f>
        <v>#REF!</v>
      </c>
      <c r="BM228" s="51" t="e">
        <f>IF(#REF!="sníž. přenesená",N228,0)</f>
        <v>#REF!</v>
      </c>
      <c r="BN228" s="51" t="e">
        <f>IF(#REF!="nulová",N228,0)</f>
        <v>#REF!</v>
      </c>
      <c r="BO228" s="8" t="s">
        <v>56</v>
      </c>
      <c r="BP228" s="51">
        <f t="shared" si="25"/>
        <v>0</v>
      </c>
      <c r="BQ228" s="8" t="s">
        <v>156</v>
      </c>
      <c r="BR228" s="8" t="s">
        <v>283</v>
      </c>
    </row>
    <row r="229" spans="2:70" s="77" customFormat="1" ht="29.85" customHeight="1">
      <c r="B229" s="76"/>
      <c r="D229" s="86" t="s">
        <v>92</v>
      </c>
      <c r="E229" s="86"/>
      <c r="F229" s="86"/>
      <c r="G229" s="86"/>
      <c r="H229" s="86"/>
      <c r="I229" s="86"/>
      <c r="J229" s="86"/>
      <c r="K229" s="86"/>
      <c r="L229" s="86"/>
      <c r="M229" s="86"/>
      <c r="N229" s="202">
        <f>SUM(N230:Q242)</f>
        <v>0</v>
      </c>
      <c r="O229" s="203"/>
      <c r="P229" s="203"/>
      <c r="Q229" s="203"/>
      <c r="R229" s="79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W229" s="83" t="s">
        <v>67</v>
      </c>
      <c r="AY229" s="84" t="s">
        <v>53</v>
      </c>
      <c r="AZ229" s="84" t="s">
        <v>56</v>
      </c>
      <c r="BD229" s="83" t="s">
        <v>115</v>
      </c>
      <c r="BP229" s="56">
        <f>SUM(BP230:BP242)</f>
        <v>0</v>
      </c>
    </row>
    <row r="230" spans="2:70" s="16" customFormat="1" ht="25.5" customHeight="1">
      <c r="B230" s="17"/>
      <c r="C230" s="87">
        <f>+C228+1</f>
        <v>82</v>
      </c>
      <c r="D230" s="87" t="s">
        <v>116</v>
      </c>
      <c r="E230" s="88" t="s">
        <v>284</v>
      </c>
      <c r="F230" s="192" t="s">
        <v>285</v>
      </c>
      <c r="G230" s="192"/>
      <c r="H230" s="192"/>
      <c r="I230" s="192"/>
      <c r="J230" s="89" t="s">
        <v>119</v>
      </c>
      <c r="K230" s="90">
        <v>56.93</v>
      </c>
      <c r="L230" s="193"/>
      <c r="M230" s="194"/>
      <c r="N230" s="195">
        <f t="shared" ref="N230:N242" si="27">ROUND(L230*K230,2)</f>
        <v>0</v>
      </c>
      <c r="O230" s="195"/>
      <c r="P230" s="195"/>
      <c r="Q230" s="195"/>
      <c r="R230" s="19"/>
      <c r="S230" s="111"/>
      <c r="T230" s="111"/>
      <c r="U230" s="111"/>
      <c r="V230" s="111"/>
      <c r="W230" s="111"/>
      <c r="X230" s="111"/>
      <c r="Y230" s="111"/>
      <c r="Z230" s="111"/>
      <c r="AA230" s="111"/>
      <c r="AB230" s="111"/>
      <c r="AC230" s="111"/>
      <c r="AD230" s="111"/>
      <c r="AE230" s="111"/>
      <c r="AF230" s="111"/>
      <c r="AG230" s="111"/>
      <c r="AH230" s="111"/>
      <c r="AI230" s="111"/>
      <c r="AJ230" s="111"/>
      <c r="AK230" s="111"/>
      <c r="AL230" s="111"/>
      <c r="AM230" s="111"/>
      <c r="AN230" s="111"/>
      <c r="AO230" s="111"/>
      <c r="AP230" s="111"/>
      <c r="AQ230" s="111"/>
      <c r="AR230" s="111"/>
      <c r="AS230" s="111"/>
      <c r="AW230" s="8" t="s">
        <v>156</v>
      </c>
      <c r="AY230" s="8" t="s">
        <v>116</v>
      </c>
      <c r="AZ230" s="8" t="s">
        <v>67</v>
      </c>
      <c r="BD230" s="8" t="s">
        <v>115</v>
      </c>
      <c r="BJ230" s="51" t="e">
        <f>IF(#REF!="základní",N230,0)</f>
        <v>#REF!</v>
      </c>
      <c r="BK230" s="51" t="e">
        <f>IF(#REF!="snížená",N230,0)</f>
        <v>#REF!</v>
      </c>
      <c r="BL230" s="51" t="e">
        <f>IF(#REF!="zákl. přenesená",N230,0)</f>
        <v>#REF!</v>
      </c>
      <c r="BM230" s="51" t="e">
        <f>IF(#REF!="sníž. přenesená",N230,0)</f>
        <v>#REF!</v>
      </c>
      <c r="BN230" s="51" t="e">
        <f>IF(#REF!="nulová",N230,0)</f>
        <v>#REF!</v>
      </c>
      <c r="BO230" s="8" t="s">
        <v>56</v>
      </c>
      <c r="BP230" s="51">
        <f t="shared" ref="BP230:BP242" si="28">ROUND(L230*K230,2)</f>
        <v>0</v>
      </c>
      <c r="BQ230" s="8" t="s">
        <v>156</v>
      </c>
      <c r="BR230" s="8" t="s">
        <v>286</v>
      </c>
    </row>
    <row r="231" spans="2:70" s="16" customFormat="1" ht="25.5" customHeight="1">
      <c r="B231" s="17"/>
      <c r="C231" s="87">
        <f t="shared" ref="C231:C247" si="29">+C230+1</f>
        <v>83</v>
      </c>
      <c r="D231" s="87" t="s">
        <v>116</v>
      </c>
      <c r="E231" s="88" t="s">
        <v>287</v>
      </c>
      <c r="F231" s="192" t="s">
        <v>288</v>
      </c>
      <c r="G231" s="192"/>
      <c r="H231" s="192"/>
      <c r="I231" s="192"/>
      <c r="J231" s="89" t="s">
        <v>135</v>
      </c>
      <c r="K231" s="90">
        <v>258.89999999999998</v>
      </c>
      <c r="L231" s="193"/>
      <c r="M231" s="194"/>
      <c r="N231" s="195">
        <f t="shared" si="27"/>
        <v>0</v>
      </c>
      <c r="O231" s="195"/>
      <c r="P231" s="195"/>
      <c r="Q231" s="195"/>
      <c r="R231" s="19"/>
      <c r="S231" s="111"/>
      <c r="T231" s="111"/>
      <c r="U231" s="111"/>
      <c r="V231" s="111"/>
      <c r="W231" s="111"/>
      <c r="X231" s="111"/>
      <c r="Y231" s="111"/>
      <c r="Z231" s="111"/>
      <c r="AA231" s="111"/>
      <c r="AB231" s="111"/>
      <c r="AC231" s="111"/>
      <c r="AD231" s="111"/>
      <c r="AE231" s="111"/>
      <c r="AF231" s="111"/>
      <c r="AG231" s="111"/>
      <c r="AH231" s="111"/>
      <c r="AI231" s="111"/>
      <c r="AJ231" s="111"/>
      <c r="AK231" s="111"/>
      <c r="AL231" s="111"/>
      <c r="AM231" s="111"/>
      <c r="AN231" s="111"/>
      <c r="AO231" s="111"/>
      <c r="AP231" s="111"/>
      <c r="AQ231" s="111"/>
      <c r="AR231" s="111"/>
      <c r="AS231" s="111"/>
      <c r="AW231" s="8" t="s">
        <v>156</v>
      </c>
      <c r="AY231" s="8" t="s">
        <v>116</v>
      </c>
      <c r="AZ231" s="8" t="s">
        <v>67</v>
      </c>
      <c r="BD231" s="8" t="s">
        <v>115</v>
      </c>
      <c r="BJ231" s="51" t="e">
        <f>IF(#REF!="základní",N231,0)</f>
        <v>#REF!</v>
      </c>
      <c r="BK231" s="51" t="e">
        <f>IF(#REF!="snížená",N231,0)</f>
        <v>#REF!</v>
      </c>
      <c r="BL231" s="51" t="e">
        <f>IF(#REF!="zákl. přenesená",N231,0)</f>
        <v>#REF!</v>
      </c>
      <c r="BM231" s="51" t="e">
        <f>IF(#REF!="sníž. přenesená",N231,0)</f>
        <v>#REF!</v>
      </c>
      <c r="BN231" s="51" t="e">
        <f>IF(#REF!="nulová",N231,0)</f>
        <v>#REF!</v>
      </c>
      <c r="BO231" s="8" t="s">
        <v>56</v>
      </c>
      <c r="BP231" s="51">
        <f t="shared" si="28"/>
        <v>0</v>
      </c>
      <c r="BQ231" s="8" t="s">
        <v>156</v>
      </c>
      <c r="BR231" s="8" t="s">
        <v>289</v>
      </c>
    </row>
    <row r="232" spans="2:70" s="16" customFormat="1" ht="16.5" customHeight="1">
      <c r="B232" s="17"/>
      <c r="C232" s="87">
        <f t="shared" si="29"/>
        <v>84</v>
      </c>
      <c r="D232" s="87" t="s">
        <v>116</v>
      </c>
      <c r="E232" s="88" t="s">
        <v>290</v>
      </c>
      <c r="F232" s="192" t="s">
        <v>291</v>
      </c>
      <c r="G232" s="192"/>
      <c r="H232" s="192"/>
      <c r="I232" s="192"/>
      <c r="J232" s="89" t="s">
        <v>135</v>
      </c>
      <c r="K232" s="90">
        <v>201.9</v>
      </c>
      <c r="L232" s="193"/>
      <c r="M232" s="194"/>
      <c r="N232" s="195">
        <f t="shared" si="27"/>
        <v>0</v>
      </c>
      <c r="O232" s="195"/>
      <c r="P232" s="195"/>
      <c r="Q232" s="195"/>
      <c r="R232" s="19"/>
      <c r="S232" s="111"/>
      <c r="T232" s="111"/>
      <c r="U232" s="111"/>
      <c r="V232" s="111"/>
      <c r="W232" s="111"/>
      <c r="X232" s="111"/>
      <c r="Y232" s="111"/>
      <c r="Z232" s="111"/>
      <c r="AA232" s="111"/>
      <c r="AB232" s="111"/>
      <c r="AC232" s="111"/>
      <c r="AD232" s="111"/>
      <c r="AE232" s="111"/>
      <c r="AF232" s="111"/>
      <c r="AG232" s="111"/>
      <c r="AH232" s="111"/>
      <c r="AI232" s="111"/>
      <c r="AJ232" s="111"/>
      <c r="AK232" s="111"/>
      <c r="AL232" s="111"/>
      <c r="AM232" s="111"/>
      <c r="AN232" s="111"/>
      <c r="AO232" s="111"/>
      <c r="AP232" s="111"/>
      <c r="AQ232" s="111"/>
      <c r="AR232" s="111"/>
      <c r="AS232" s="111"/>
      <c r="AW232" s="8" t="s">
        <v>156</v>
      </c>
      <c r="AY232" s="8" t="s">
        <v>116</v>
      </c>
      <c r="AZ232" s="8" t="s">
        <v>67</v>
      </c>
      <c r="BD232" s="8" t="s">
        <v>115</v>
      </c>
      <c r="BJ232" s="51" t="e">
        <f>IF(#REF!="základní",N232,0)</f>
        <v>#REF!</v>
      </c>
      <c r="BK232" s="51" t="e">
        <f>IF(#REF!="snížená",N232,0)</f>
        <v>#REF!</v>
      </c>
      <c r="BL232" s="51" t="e">
        <f>IF(#REF!="zákl. přenesená",N232,0)</f>
        <v>#REF!</v>
      </c>
      <c r="BM232" s="51" t="e">
        <f>IF(#REF!="sníž. přenesená",N232,0)</f>
        <v>#REF!</v>
      </c>
      <c r="BN232" s="51" t="e">
        <f>IF(#REF!="nulová",N232,0)</f>
        <v>#REF!</v>
      </c>
      <c r="BO232" s="8" t="s">
        <v>56</v>
      </c>
      <c r="BP232" s="51">
        <f t="shared" si="28"/>
        <v>0</v>
      </c>
      <c r="BQ232" s="8" t="s">
        <v>156</v>
      </c>
      <c r="BR232" s="8" t="s">
        <v>292</v>
      </c>
    </row>
    <row r="233" spans="2:70" s="16" customFormat="1" ht="16.5" customHeight="1">
      <c r="B233" s="17"/>
      <c r="C233" s="87">
        <f t="shared" si="29"/>
        <v>85</v>
      </c>
      <c r="D233" s="87" t="s">
        <v>116</v>
      </c>
      <c r="E233" s="88" t="s">
        <v>293</v>
      </c>
      <c r="F233" s="192" t="s">
        <v>294</v>
      </c>
      <c r="G233" s="192"/>
      <c r="H233" s="192"/>
      <c r="I233" s="192"/>
      <c r="J233" s="89" t="s">
        <v>135</v>
      </c>
      <c r="K233" s="90">
        <v>251</v>
      </c>
      <c r="L233" s="193"/>
      <c r="M233" s="194"/>
      <c r="N233" s="195">
        <f t="shared" si="27"/>
        <v>0</v>
      </c>
      <c r="O233" s="195"/>
      <c r="P233" s="195"/>
      <c r="Q233" s="195"/>
      <c r="R233" s="19"/>
      <c r="S233" s="111"/>
      <c r="T233" s="111"/>
      <c r="U233" s="111"/>
      <c r="V233" s="111"/>
      <c r="W233" s="111"/>
      <c r="X233" s="111"/>
      <c r="Y233" s="111"/>
      <c r="Z233" s="111"/>
      <c r="AA233" s="111"/>
      <c r="AB233" s="111"/>
      <c r="AC233" s="111"/>
      <c r="AD233" s="111"/>
      <c r="AE233" s="111"/>
      <c r="AF233" s="111"/>
      <c r="AG233" s="111"/>
      <c r="AH233" s="111"/>
      <c r="AI233" s="111"/>
      <c r="AJ233" s="111"/>
      <c r="AK233" s="111"/>
      <c r="AL233" s="111"/>
      <c r="AM233" s="111"/>
      <c r="AN233" s="111"/>
      <c r="AO233" s="111"/>
      <c r="AP233" s="111"/>
      <c r="AQ233" s="111"/>
      <c r="AR233" s="111"/>
      <c r="AS233" s="111"/>
      <c r="AW233" s="8" t="s">
        <v>156</v>
      </c>
      <c r="AY233" s="8" t="s">
        <v>116</v>
      </c>
      <c r="AZ233" s="8" t="s">
        <v>67</v>
      </c>
      <c r="BD233" s="8" t="s">
        <v>115</v>
      </c>
      <c r="BJ233" s="51" t="e">
        <f>IF(#REF!="základní",N233,0)</f>
        <v>#REF!</v>
      </c>
      <c r="BK233" s="51" t="e">
        <f>IF(#REF!="snížená",N233,0)</f>
        <v>#REF!</v>
      </c>
      <c r="BL233" s="51" t="e">
        <f>IF(#REF!="zákl. přenesená",N233,0)</f>
        <v>#REF!</v>
      </c>
      <c r="BM233" s="51" t="e">
        <f>IF(#REF!="sníž. přenesená",N233,0)</f>
        <v>#REF!</v>
      </c>
      <c r="BN233" s="51" t="e">
        <f>IF(#REF!="nulová",N233,0)</f>
        <v>#REF!</v>
      </c>
      <c r="BO233" s="8" t="s">
        <v>56</v>
      </c>
      <c r="BP233" s="51">
        <f t="shared" si="28"/>
        <v>0</v>
      </c>
      <c r="BQ233" s="8" t="s">
        <v>156</v>
      </c>
      <c r="BR233" s="8" t="s">
        <v>295</v>
      </c>
    </row>
    <row r="234" spans="2:70" s="16" customFormat="1" ht="16.5" customHeight="1">
      <c r="B234" s="17"/>
      <c r="C234" s="87">
        <f t="shared" si="29"/>
        <v>86</v>
      </c>
      <c r="D234" s="87" t="s">
        <v>116</v>
      </c>
      <c r="E234" s="88" t="s">
        <v>296</v>
      </c>
      <c r="F234" s="192" t="s">
        <v>297</v>
      </c>
      <c r="G234" s="192"/>
      <c r="H234" s="192"/>
      <c r="I234" s="192"/>
      <c r="J234" s="89" t="s">
        <v>135</v>
      </c>
      <c r="K234" s="90">
        <v>12.8</v>
      </c>
      <c r="L234" s="193"/>
      <c r="M234" s="194"/>
      <c r="N234" s="195">
        <f t="shared" si="27"/>
        <v>0</v>
      </c>
      <c r="O234" s="195"/>
      <c r="P234" s="195"/>
      <c r="Q234" s="195"/>
      <c r="R234" s="19"/>
      <c r="S234" s="111"/>
      <c r="T234" s="111"/>
      <c r="U234" s="111"/>
      <c r="V234" s="111"/>
      <c r="W234" s="111"/>
      <c r="X234" s="111"/>
      <c r="Y234" s="111"/>
      <c r="Z234" s="111"/>
      <c r="AA234" s="111"/>
      <c r="AB234" s="111"/>
      <c r="AC234" s="111"/>
      <c r="AD234" s="111"/>
      <c r="AE234" s="111"/>
      <c r="AF234" s="111"/>
      <c r="AG234" s="111"/>
      <c r="AH234" s="111"/>
      <c r="AI234" s="111"/>
      <c r="AJ234" s="111"/>
      <c r="AK234" s="111"/>
      <c r="AL234" s="111"/>
      <c r="AM234" s="111"/>
      <c r="AN234" s="111"/>
      <c r="AO234" s="111"/>
      <c r="AP234" s="111"/>
      <c r="AQ234" s="111"/>
      <c r="AR234" s="111"/>
      <c r="AS234" s="111"/>
      <c r="AW234" s="8" t="s">
        <v>156</v>
      </c>
      <c r="AY234" s="8" t="s">
        <v>116</v>
      </c>
      <c r="AZ234" s="8" t="s">
        <v>67</v>
      </c>
      <c r="BD234" s="8" t="s">
        <v>115</v>
      </c>
      <c r="BJ234" s="51" t="e">
        <f>IF(#REF!="základní",N234,0)</f>
        <v>#REF!</v>
      </c>
      <c r="BK234" s="51" t="e">
        <f>IF(#REF!="snížená",N234,0)</f>
        <v>#REF!</v>
      </c>
      <c r="BL234" s="51" t="e">
        <f>IF(#REF!="zákl. přenesená",N234,0)</f>
        <v>#REF!</v>
      </c>
      <c r="BM234" s="51" t="e">
        <f>IF(#REF!="sníž. přenesená",N234,0)</f>
        <v>#REF!</v>
      </c>
      <c r="BN234" s="51" t="e">
        <f>IF(#REF!="nulová",N234,0)</f>
        <v>#REF!</v>
      </c>
      <c r="BO234" s="8" t="s">
        <v>56</v>
      </c>
      <c r="BP234" s="51">
        <f t="shared" si="28"/>
        <v>0</v>
      </c>
      <c r="BQ234" s="8" t="s">
        <v>156</v>
      </c>
      <c r="BR234" s="8" t="s">
        <v>298</v>
      </c>
    </row>
    <row r="235" spans="2:70" s="16" customFormat="1" ht="25.5" customHeight="1">
      <c r="B235" s="17"/>
      <c r="C235" s="87">
        <f t="shared" si="29"/>
        <v>87</v>
      </c>
      <c r="D235" s="87" t="s">
        <v>116</v>
      </c>
      <c r="E235" s="88" t="s">
        <v>299</v>
      </c>
      <c r="F235" s="192" t="s">
        <v>300</v>
      </c>
      <c r="G235" s="192"/>
      <c r="H235" s="192"/>
      <c r="I235" s="192"/>
      <c r="J235" s="89" t="s">
        <v>135</v>
      </c>
      <c r="K235" s="90">
        <v>10.6</v>
      </c>
      <c r="L235" s="193"/>
      <c r="M235" s="194"/>
      <c r="N235" s="195">
        <f t="shared" si="27"/>
        <v>0</v>
      </c>
      <c r="O235" s="195"/>
      <c r="P235" s="195"/>
      <c r="Q235" s="195"/>
      <c r="R235" s="19"/>
      <c r="S235" s="111"/>
      <c r="T235" s="111"/>
      <c r="U235" s="111"/>
      <c r="V235" s="111"/>
      <c r="W235" s="111"/>
      <c r="X235" s="111"/>
      <c r="Y235" s="111"/>
      <c r="Z235" s="111"/>
      <c r="AA235" s="111"/>
      <c r="AB235" s="111"/>
      <c r="AC235" s="111"/>
      <c r="AD235" s="111"/>
      <c r="AE235" s="111"/>
      <c r="AF235" s="111"/>
      <c r="AG235" s="111"/>
      <c r="AH235" s="111"/>
      <c r="AI235" s="111"/>
      <c r="AJ235" s="111"/>
      <c r="AK235" s="111"/>
      <c r="AL235" s="111"/>
      <c r="AM235" s="111"/>
      <c r="AN235" s="111"/>
      <c r="AO235" s="111"/>
      <c r="AP235" s="111"/>
      <c r="AQ235" s="111"/>
      <c r="AR235" s="111"/>
      <c r="AS235" s="111"/>
      <c r="AW235" s="8" t="s">
        <v>156</v>
      </c>
      <c r="AY235" s="8" t="s">
        <v>116</v>
      </c>
      <c r="AZ235" s="8" t="s">
        <v>67</v>
      </c>
      <c r="BD235" s="8" t="s">
        <v>115</v>
      </c>
      <c r="BJ235" s="51" t="e">
        <f>IF(#REF!="základní",N235,0)</f>
        <v>#REF!</v>
      </c>
      <c r="BK235" s="51" t="e">
        <f>IF(#REF!="snížená",N235,0)</f>
        <v>#REF!</v>
      </c>
      <c r="BL235" s="51" t="e">
        <f>IF(#REF!="zákl. přenesená",N235,0)</f>
        <v>#REF!</v>
      </c>
      <c r="BM235" s="51" t="e">
        <f>IF(#REF!="sníž. přenesená",N235,0)</f>
        <v>#REF!</v>
      </c>
      <c r="BN235" s="51" t="e">
        <f>IF(#REF!="nulová",N235,0)</f>
        <v>#REF!</v>
      </c>
      <c r="BO235" s="8" t="s">
        <v>56</v>
      </c>
      <c r="BP235" s="51">
        <f t="shared" si="28"/>
        <v>0</v>
      </c>
      <c r="BQ235" s="8" t="s">
        <v>156</v>
      </c>
      <c r="BR235" s="8" t="s">
        <v>301</v>
      </c>
    </row>
    <row r="236" spans="2:70" s="16" customFormat="1" ht="25.5" customHeight="1">
      <c r="B236" s="17"/>
      <c r="C236" s="87">
        <f t="shared" si="29"/>
        <v>88</v>
      </c>
      <c r="D236" s="87" t="s">
        <v>116</v>
      </c>
      <c r="E236" s="88" t="s">
        <v>302</v>
      </c>
      <c r="F236" s="192" t="s">
        <v>622</v>
      </c>
      <c r="G236" s="192"/>
      <c r="H236" s="192"/>
      <c r="I236" s="192"/>
      <c r="J236" s="89" t="s">
        <v>119</v>
      </c>
      <c r="K236" s="90">
        <v>62.622999999999998</v>
      </c>
      <c r="L236" s="193"/>
      <c r="M236" s="194"/>
      <c r="N236" s="195">
        <f t="shared" si="27"/>
        <v>0</v>
      </c>
      <c r="O236" s="195"/>
      <c r="P236" s="195"/>
      <c r="Q236" s="195"/>
      <c r="R236" s="19"/>
      <c r="S236" s="111"/>
      <c r="T236" s="111"/>
      <c r="U236" s="111"/>
      <c r="V236" s="111"/>
      <c r="W236" s="111"/>
      <c r="X236" s="111"/>
      <c r="Y236" s="111"/>
      <c r="Z236" s="111"/>
      <c r="AA236" s="111"/>
      <c r="AB236" s="111"/>
      <c r="AC236" s="111"/>
      <c r="AD236" s="111"/>
      <c r="AE236" s="111"/>
      <c r="AF236" s="111"/>
      <c r="AG236" s="111"/>
      <c r="AH236" s="111"/>
      <c r="AI236" s="111"/>
      <c r="AJ236" s="111"/>
      <c r="AK236" s="111"/>
      <c r="AL236" s="111"/>
      <c r="AM236" s="111"/>
      <c r="AN236" s="111"/>
      <c r="AO236" s="111"/>
      <c r="AP236" s="111"/>
      <c r="AQ236" s="111"/>
      <c r="AR236" s="111"/>
      <c r="AS236" s="111"/>
      <c r="AW236" s="8" t="s">
        <v>156</v>
      </c>
      <c r="AY236" s="8" t="s">
        <v>116</v>
      </c>
      <c r="AZ236" s="8" t="s">
        <v>67</v>
      </c>
      <c r="BD236" s="8" t="s">
        <v>115</v>
      </c>
      <c r="BJ236" s="51" t="e">
        <f>IF(#REF!="základní",N236,0)</f>
        <v>#REF!</v>
      </c>
      <c r="BK236" s="51" t="e">
        <f>IF(#REF!="snížená",N236,0)</f>
        <v>#REF!</v>
      </c>
      <c r="BL236" s="51" t="e">
        <f>IF(#REF!="zákl. přenesená",N236,0)</f>
        <v>#REF!</v>
      </c>
      <c r="BM236" s="51" t="e">
        <f>IF(#REF!="sníž. přenesená",N236,0)</f>
        <v>#REF!</v>
      </c>
      <c r="BN236" s="51" t="e">
        <f>IF(#REF!="nulová",N236,0)</f>
        <v>#REF!</v>
      </c>
      <c r="BO236" s="8" t="s">
        <v>56</v>
      </c>
      <c r="BP236" s="51">
        <f t="shared" si="28"/>
        <v>0</v>
      </c>
      <c r="BQ236" s="8" t="s">
        <v>156</v>
      </c>
      <c r="BR236" s="8" t="s">
        <v>303</v>
      </c>
    </row>
    <row r="237" spans="2:70" s="16" customFormat="1" ht="38.25" customHeight="1">
      <c r="B237" s="17"/>
      <c r="C237" s="87">
        <f t="shared" si="29"/>
        <v>89</v>
      </c>
      <c r="D237" s="87" t="s">
        <v>116</v>
      </c>
      <c r="E237" s="88" t="s">
        <v>304</v>
      </c>
      <c r="F237" s="192" t="s">
        <v>623</v>
      </c>
      <c r="G237" s="192"/>
      <c r="H237" s="192"/>
      <c r="I237" s="192"/>
      <c r="J237" s="89" t="s">
        <v>135</v>
      </c>
      <c r="K237" s="90">
        <v>258.89999999999998</v>
      </c>
      <c r="L237" s="193"/>
      <c r="M237" s="194"/>
      <c r="N237" s="195">
        <f t="shared" si="27"/>
        <v>0</v>
      </c>
      <c r="O237" s="195"/>
      <c r="P237" s="195"/>
      <c r="Q237" s="195"/>
      <c r="R237" s="19"/>
      <c r="S237" s="111"/>
      <c r="T237" s="111"/>
      <c r="U237" s="111"/>
      <c r="V237" s="111"/>
      <c r="W237" s="111"/>
      <c r="X237" s="111"/>
      <c r="Y237" s="111"/>
      <c r="Z237" s="111"/>
      <c r="AA237" s="111"/>
      <c r="AB237" s="111"/>
      <c r="AC237" s="111"/>
      <c r="AD237" s="111"/>
      <c r="AE237" s="111"/>
      <c r="AF237" s="111"/>
      <c r="AG237" s="111"/>
      <c r="AH237" s="111"/>
      <c r="AI237" s="111"/>
      <c r="AJ237" s="111"/>
      <c r="AK237" s="111"/>
      <c r="AL237" s="111"/>
      <c r="AM237" s="111"/>
      <c r="AN237" s="111"/>
      <c r="AO237" s="111"/>
      <c r="AP237" s="111"/>
      <c r="AQ237" s="111"/>
      <c r="AR237" s="111"/>
      <c r="AS237" s="111"/>
      <c r="AW237" s="8" t="s">
        <v>156</v>
      </c>
      <c r="AY237" s="8" t="s">
        <v>116</v>
      </c>
      <c r="AZ237" s="8" t="s">
        <v>67</v>
      </c>
      <c r="BD237" s="8" t="s">
        <v>115</v>
      </c>
      <c r="BJ237" s="51" t="e">
        <f>IF(#REF!="základní",N237,0)</f>
        <v>#REF!</v>
      </c>
      <c r="BK237" s="51" t="e">
        <f>IF(#REF!="snížená",N237,0)</f>
        <v>#REF!</v>
      </c>
      <c r="BL237" s="51" t="e">
        <f>IF(#REF!="zákl. přenesená",N237,0)</f>
        <v>#REF!</v>
      </c>
      <c r="BM237" s="51" t="e">
        <f>IF(#REF!="sníž. přenesená",N237,0)</f>
        <v>#REF!</v>
      </c>
      <c r="BN237" s="51" t="e">
        <f>IF(#REF!="nulová",N237,0)</f>
        <v>#REF!</v>
      </c>
      <c r="BO237" s="8" t="s">
        <v>56</v>
      </c>
      <c r="BP237" s="51">
        <f t="shared" si="28"/>
        <v>0</v>
      </c>
      <c r="BQ237" s="8" t="s">
        <v>156</v>
      </c>
      <c r="BR237" s="8" t="s">
        <v>305</v>
      </c>
    </row>
    <row r="238" spans="2:70" s="16" customFormat="1" ht="25.5" customHeight="1">
      <c r="B238" s="17"/>
      <c r="C238" s="87">
        <f t="shared" si="29"/>
        <v>90</v>
      </c>
      <c r="D238" s="87" t="s">
        <v>116</v>
      </c>
      <c r="E238" s="88" t="s">
        <v>306</v>
      </c>
      <c r="F238" s="192" t="s">
        <v>624</v>
      </c>
      <c r="G238" s="192"/>
      <c r="H238" s="192"/>
      <c r="I238" s="192"/>
      <c r="J238" s="89" t="s">
        <v>135</v>
      </c>
      <c r="K238" s="90">
        <v>201.9</v>
      </c>
      <c r="L238" s="193"/>
      <c r="M238" s="194"/>
      <c r="N238" s="195">
        <f t="shared" si="27"/>
        <v>0</v>
      </c>
      <c r="O238" s="195"/>
      <c r="P238" s="195"/>
      <c r="Q238" s="195"/>
      <c r="R238" s="19"/>
      <c r="S238" s="111"/>
      <c r="T238" s="111"/>
      <c r="U238" s="111"/>
      <c r="V238" s="111"/>
      <c r="W238" s="111"/>
      <c r="X238" s="111"/>
      <c r="Y238" s="111"/>
      <c r="Z238" s="111"/>
      <c r="AA238" s="111"/>
      <c r="AB238" s="111"/>
      <c r="AC238" s="111"/>
      <c r="AD238" s="111"/>
      <c r="AE238" s="111"/>
      <c r="AF238" s="111"/>
      <c r="AG238" s="111"/>
      <c r="AH238" s="111"/>
      <c r="AI238" s="111"/>
      <c r="AJ238" s="111"/>
      <c r="AK238" s="111"/>
      <c r="AL238" s="111"/>
      <c r="AM238" s="111"/>
      <c r="AN238" s="111"/>
      <c r="AO238" s="111"/>
      <c r="AP238" s="111"/>
      <c r="AQ238" s="111"/>
      <c r="AR238" s="111"/>
      <c r="AS238" s="111"/>
      <c r="AW238" s="8" t="s">
        <v>156</v>
      </c>
      <c r="AY238" s="8" t="s">
        <v>116</v>
      </c>
      <c r="AZ238" s="8" t="s">
        <v>67</v>
      </c>
      <c r="BD238" s="8" t="s">
        <v>115</v>
      </c>
      <c r="BJ238" s="51" t="e">
        <f>IF(#REF!="základní",N238,0)</f>
        <v>#REF!</v>
      </c>
      <c r="BK238" s="51" t="e">
        <f>IF(#REF!="snížená",N238,0)</f>
        <v>#REF!</v>
      </c>
      <c r="BL238" s="51" t="e">
        <f>IF(#REF!="zákl. přenesená",N238,0)</f>
        <v>#REF!</v>
      </c>
      <c r="BM238" s="51" t="e">
        <f>IF(#REF!="sníž. přenesená",N238,0)</f>
        <v>#REF!</v>
      </c>
      <c r="BN238" s="51" t="e">
        <f>IF(#REF!="nulová",N238,0)</f>
        <v>#REF!</v>
      </c>
      <c r="BO238" s="8" t="s">
        <v>56</v>
      </c>
      <c r="BP238" s="51">
        <f t="shared" si="28"/>
        <v>0</v>
      </c>
      <c r="BQ238" s="8" t="s">
        <v>156</v>
      </c>
      <c r="BR238" s="8" t="s">
        <v>307</v>
      </c>
    </row>
    <row r="239" spans="2:70" s="16" customFormat="1" ht="25.5" customHeight="1">
      <c r="B239" s="17"/>
      <c r="C239" s="87">
        <f t="shared" si="29"/>
        <v>91</v>
      </c>
      <c r="D239" s="87" t="s">
        <v>116</v>
      </c>
      <c r="E239" s="88" t="s">
        <v>308</v>
      </c>
      <c r="F239" s="192" t="s">
        <v>309</v>
      </c>
      <c r="G239" s="192"/>
      <c r="H239" s="192"/>
      <c r="I239" s="192"/>
      <c r="J239" s="89" t="s">
        <v>135</v>
      </c>
      <c r="K239" s="90">
        <v>593.91999999999996</v>
      </c>
      <c r="L239" s="193"/>
      <c r="M239" s="194"/>
      <c r="N239" s="195">
        <f t="shared" si="27"/>
        <v>0</v>
      </c>
      <c r="O239" s="195"/>
      <c r="P239" s="195"/>
      <c r="Q239" s="195"/>
      <c r="R239" s="19"/>
      <c r="S239" s="111"/>
      <c r="T239" s="111"/>
      <c r="U239" s="111"/>
      <c r="V239" s="111"/>
      <c r="W239" s="111"/>
      <c r="X239" s="111"/>
      <c r="Y239" s="111"/>
      <c r="Z239" s="111"/>
      <c r="AA239" s="111"/>
      <c r="AB239" s="111"/>
      <c r="AC239" s="111"/>
      <c r="AD239" s="111"/>
      <c r="AE239" s="111"/>
      <c r="AF239" s="111"/>
      <c r="AG239" s="111"/>
      <c r="AH239" s="111"/>
      <c r="AI239" s="111"/>
      <c r="AJ239" s="111"/>
      <c r="AK239" s="111"/>
      <c r="AL239" s="111"/>
      <c r="AM239" s="111"/>
      <c r="AN239" s="111"/>
      <c r="AO239" s="111"/>
      <c r="AP239" s="111"/>
      <c r="AQ239" s="111"/>
      <c r="AR239" s="111"/>
      <c r="AS239" s="111"/>
      <c r="AW239" s="8" t="s">
        <v>156</v>
      </c>
      <c r="AY239" s="8" t="s">
        <v>116</v>
      </c>
      <c r="AZ239" s="8" t="s">
        <v>67</v>
      </c>
      <c r="BD239" s="8" t="s">
        <v>115</v>
      </c>
      <c r="BJ239" s="51" t="e">
        <f>IF(#REF!="základní",N239,0)</f>
        <v>#REF!</v>
      </c>
      <c r="BK239" s="51" t="e">
        <f>IF(#REF!="snížená",N239,0)</f>
        <v>#REF!</v>
      </c>
      <c r="BL239" s="51" t="e">
        <f>IF(#REF!="zákl. přenesená",N239,0)</f>
        <v>#REF!</v>
      </c>
      <c r="BM239" s="51" t="e">
        <f>IF(#REF!="sníž. přenesená",N239,0)</f>
        <v>#REF!</v>
      </c>
      <c r="BN239" s="51" t="e">
        <f>IF(#REF!="nulová",N239,0)</f>
        <v>#REF!</v>
      </c>
      <c r="BO239" s="8" t="s">
        <v>56</v>
      </c>
      <c r="BP239" s="51">
        <f t="shared" si="28"/>
        <v>0</v>
      </c>
      <c r="BQ239" s="8" t="s">
        <v>156</v>
      </c>
      <c r="BR239" s="8" t="s">
        <v>310</v>
      </c>
    </row>
    <row r="240" spans="2:70" s="16" customFormat="1" ht="25.5" customHeight="1">
      <c r="B240" s="17"/>
      <c r="C240" s="87">
        <f t="shared" si="29"/>
        <v>92</v>
      </c>
      <c r="D240" s="87" t="s">
        <v>116</v>
      </c>
      <c r="E240" s="88" t="s">
        <v>311</v>
      </c>
      <c r="F240" s="192" t="s">
        <v>625</v>
      </c>
      <c r="G240" s="192"/>
      <c r="H240" s="192"/>
      <c r="I240" s="192"/>
      <c r="J240" s="89" t="s">
        <v>135</v>
      </c>
      <c r="K240" s="90">
        <v>10.6</v>
      </c>
      <c r="L240" s="193"/>
      <c r="M240" s="194"/>
      <c r="N240" s="195">
        <f t="shared" si="27"/>
        <v>0</v>
      </c>
      <c r="O240" s="195"/>
      <c r="P240" s="195"/>
      <c r="Q240" s="195"/>
      <c r="R240" s="19"/>
      <c r="S240" s="111"/>
      <c r="T240" s="111"/>
      <c r="U240" s="111"/>
      <c r="V240" s="111"/>
      <c r="W240" s="111"/>
      <c r="X240" s="111"/>
      <c r="Y240" s="111"/>
      <c r="Z240" s="111"/>
      <c r="AA240" s="111"/>
      <c r="AB240" s="111"/>
      <c r="AC240" s="111"/>
      <c r="AD240" s="111"/>
      <c r="AE240" s="111"/>
      <c r="AF240" s="111"/>
      <c r="AG240" s="111"/>
      <c r="AH240" s="111"/>
      <c r="AI240" s="111"/>
      <c r="AJ240" s="111"/>
      <c r="AK240" s="111"/>
      <c r="AL240" s="111"/>
      <c r="AM240" s="111"/>
      <c r="AN240" s="111"/>
      <c r="AO240" s="111"/>
      <c r="AP240" s="111"/>
      <c r="AQ240" s="111"/>
      <c r="AR240" s="111"/>
      <c r="AS240" s="111"/>
      <c r="AW240" s="8" t="s">
        <v>156</v>
      </c>
      <c r="AY240" s="8" t="s">
        <v>116</v>
      </c>
      <c r="AZ240" s="8" t="s">
        <v>67</v>
      </c>
      <c r="BD240" s="8" t="s">
        <v>115</v>
      </c>
      <c r="BJ240" s="51" t="e">
        <f>IF(#REF!="základní",N240,0)</f>
        <v>#REF!</v>
      </c>
      <c r="BK240" s="51" t="e">
        <f>IF(#REF!="snížená",N240,0)</f>
        <v>#REF!</v>
      </c>
      <c r="BL240" s="51" t="e">
        <f>IF(#REF!="zákl. přenesená",N240,0)</f>
        <v>#REF!</v>
      </c>
      <c r="BM240" s="51" t="e">
        <f>IF(#REF!="sníž. přenesená",N240,0)</f>
        <v>#REF!</v>
      </c>
      <c r="BN240" s="51" t="e">
        <f>IF(#REF!="nulová",N240,0)</f>
        <v>#REF!</v>
      </c>
      <c r="BO240" s="8" t="s">
        <v>56</v>
      </c>
      <c r="BP240" s="51">
        <f t="shared" si="28"/>
        <v>0</v>
      </c>
      <c r="BQ240" s="8" t="s">
        <v>156</v>
      </c>
      <c r="BR240" s="8" t="s">
        <v>312</v>
      </c>
    </row>
    <row r="241" spans="2:70" s="16" customFormat="1" ht="25.5" customHeight="1">
      <c r="B241" s="17"/>
      <c r="C241" s="87">
        <f t="shared" si="29"/>
        <v>93</v>
      </c>
      <c r="D241" s="87" t="s">
        <v>116</v>
      </c>
      <c r="E241" s="88" t="s">
        <v>313</v>
      </c>
      <c r="F241" s="192" t="s">
        <v>626</v>
      </c>
      <c r="G241" s="192"/>
      <c r="H241" s="192"/>
      <c r="I241" s="192"/>
      <c r="J241" s="89" t="s">
        <v>135</v>
      </c>
      <c r="K241" s="90">
        <v>18</v>
      </c>
      <c r="L241" s="193"/>
      <c r="M241" s="194"/>
      <c r="N241" s="195">
        <f t="shared" si="27"/>
        <v>0</v>
      </c>
      <c r="O241" s="195"/>
      <c r="P241" s="195"/>
      <c r="Q241" s="195"/>
      <c r="R241" s="19"/>
      <c r="S241" s="111"/>
      <c r="T241" s="111"/>
      <c r="U241" s="111"/>
      <c r="V241" s="111"/>
      <c r="W241" s="111"/>
      <c r="X241" s="111"/>
      <c r="Y241" s="111"/>
      <c r="Z241" s="111"/>
      <c r="AA241" s="111"/>
      <c r="AB241" s="111"/>
      <c r="AC241" s="111"/>
      <c r="AD241" s="111"/>
      <c r="AE241" s="111"/>
      <c r="AF241" s="111"/>
      <c r="AG241" s="111"/>
      <c r="AH241" s="111"/>
      <c r="AI241" s="111"/>
      <c r="AJ241" s="111"/>
      <c r="AK241" s="111"/>
      <c r="AL241" s="111"/>
      <c r="AM241" s="111"/>
      <c r="AN241" s="111"/>
      <c r="AO241" s="111"/>
      <c r="AP241" s="111"/>
      <c r="AQ241" s="111"/>
      <c r="AR241" s="111"/>
      <c r="AS241" s="111"/>
      <c r="AW241" s="8" t="s">
        <v>156</v>
      </c>
      <c r="AY241" s="8" t="s">
        <v>116</v>
      </c>
      <c r="AZ241" s="8" t="s">
        <v>67</v>
      </c>
      <c r="BD241" s="8" t="s">
        <v>115</v>
      </c>
      <c r="BJ241" s="51" t="e">
        <f>IF(#REF!="základní",N241,0)</f>
        <v>#REF!</v>
      </c>
      <c r="BK241" s="51" t="e">
        <f>IF(#REF!="snížená",N241,0)</f>
        <v>#REF!</v>
      </c>
      <c r="BL241" s="51" t="e">
        <f>IF(#REF!="zákl. přenesená",N241,0)</f>
        <v>#REF!</v>
      </c>
      <c r="BM241" s="51" t="e">
        <f>IF(#REF!="sníž. přenesená",N241,0)</f>
        <v>#REF!</v>
      </c>
      <c r="BN241" s="51" t="e">
        <f>IF(#REF!="nulová",N241,0)</f>
        <v>#REF!</v>
      </c>
      <c r="BO241" s="8" t="s">
        <v>56</v>
      </c>
      <c r="BP241" s="51">
        <f t="shared" si="28"/>
        <v>0</v>
      </c>
      <c r="BQ241" s="8" t="s">
        <v>156</v>
      </c>
      <c r="BR241" s="8" t="s">
        <v>314</v>
      </c>
    </row>
    <row r="242" spans="2:70" s="16" customFormat="1" ht="25.5" customHeight="1">
      <c r="B242" s="17"/>
      <c r="C242" s="87">
        <f t="shared" si="29"/>
        <v>94</v>
      </c>
      <c r="D242" s="87" t="s">
        <v>116</v>
      </c>
      <c r="E242" s="88" t="s">
        <v>315</v>
      </c>
      <c r="F242" s="192" t="s">
        <v>316</v>
      </c>
      <c r="G242" s="192"/>
      <c r="H242" s="192"/>
      <c r="I242" s="192"/>
      <c r="J242" s="89" t="s">
        <v>261</v>
      </c>
      <c r="K242" s="3"/>
      <c r="L242" s="193"/>
      <c r="M242" s="194"/>
      <c r="N242" s="195">
        <f t="shared" si="27"/>
        <v>0</v>
      </c>
      <c r="O242" s="195"/>
      <c r="P242" s="195"/>
      <c r="Q242" s="195"/>
      <c r="R242" s="19"/>
      <c r="S242" s="111"/>
      <c r="T242" s="111"/>
      <c r="U242" s="111"/>
      <c r="V242" s="111"/>
      <c r="W242" s="111"/>
      <c r="X242" s="111"/>
      <c r="Y242" s="111"/>
      <c r="Z242" s="111"/>
      <c r="AA242" s="111"/>
      <c r="AB242" s="111"/>
      <c r="AC242" s="111"/>
      <c r="AD242" s="111"/>
      <c r="AE242" s="111"/>
      <c r="AF242" s="111"/>
      <c r="AG242" s="111"/>
      <c r="AH242" s="111"/>
      <c r="AI242" s="111"/>
      <c r="AJ242" s="111"/>
      <c r="AK242" s="111"/>
      <c r="AL242" s="111"/>
      <c r="AM242" s="111"/>
      <c r="AN242" s="111"/>
      <c r="AO242" s="111"/>
      <c r="AP242" s="111"/>
      <c r="AQ242" s="111"/>
      <c r="AR242" s="111"/>
      <c r="AS242" s="111"/>
      <c r="AW242" s="8" t="s">
        <v>156</v>
      </c>
      <c r="AY242" s="8" t="s">
        <v>116</v>
      </c>
      <c r="AZ242" s="8" t="s">
        <v>67</v>
      </c>
      <c r="BD242" s="8" t="s">
        <v>115</v>
      </c>
      <c r="BJ242" s="51" t="e">
        <f>IF(#REF!="základní",N242,0)</f>
        <v>#REF!</v>
      </c>
      <c r="BK242" s="51" t="e">
        <f>IF(#REF!="snížená",N242,0)</f>
        <v>#REF!</v>
      </c>
      <c r="BL242" s="51" t="e">
        <f>IF(#REF!="zákl. přenesená",N242,0)</f>
        <v>#REF!</v>
      </c>
      <c r="BM242" s="51" t="e">
        <f>IF(#REF!="sníž. přenesená",N242,0)</f>
        <v>#REF!</v>
      </c>
      <c r="BN242" s="51" t="e">
        <f>IF(#REF!="nulová",N242,0)</f>
        <v>#REF!</v>
      </c>
      <c r="BO242" s="8" t="s">
        <v>56</v>
      </c>
      <c r="BP242" s="51">
        <f t="shared" si="28"/>
        <v>0</v>
      </c>
      <c r="BQ242" s="8" t="s">
        <v>156</v>
      </c>
      <c r="BR242" s="8" t="s">
        <v>317</v>
      </c>
    </row>
    <row r="243" spans="2:70" s="77" customFormat="1" ht="29.85" customHeight="1">
      <c r="B243" s="76"/>
      <c r="D243" s="86" t="s">
        <v>93</v>
      </c>
      <c r="E243" s="86"/>
      <c r="F243" s="86"/>
      <c r="G243" s="86"/>
      <c r="H243" s="86"/>
      <c r="I243" s="86"/>
      <c r="J243" s="86"/>
      <c r="K243" s="86"/>
      <c r="L243" s="86"/>
      <c r="M243" s="86"/>
      <c r="N243" s="202">
        <f>SUM(N244:Q247)</f>
        <v>0</v>
      </c>
      <c r="O243" s="203"/>
      <c r="P243" s="203"/>
      <c r="Q243" s="203"/>
      <c r="R243" s="79"/>
      <c r="S243" s="111"/>
      <c r="T243" s="111"/>
      <c r="U243" s="111"/>
      <c r="V243" s="111"/>
      <c r="W243" s="111"/>
      <c r="X243" s="111"/>
      <c r="Y243" s="111"/>
      <c r="Z243" s="111"/>
      <c r="AA243" s="111"/>
      <c r="AB243" s="111"/>
      <c r="AC243" s="111"/>
      <c r="AD243" s="111"/>
      <c r="AE243" s="111"/>
      <c r="AF243" s="111"/>
      <c r="AG243" s="111"/>
      <c r="AH243" s="111"/>
      <c r="AI243" s="111"/>
      <c r="AJ243" s="111"/>
      <c r="AK243" s="111"/>
      <c r="AL243" s="111"/>
      <c r="AM243" s="111"/>
      <c r="AN243" s="111"/>
      <c r="AO243" s="111"/>
      <c r="AP243" s="111"/>
      <c r="AQ243" s="111"/>
      <c r="AR243" s="111"/>
      <c r="AS243" s="111"/>
      <c r="AW243" s="83" t="s">
        <v>67</v>
      </c>
      <c r="AY243" s="84" t="s">
        <v>53</v>
      </c>
      <c r="AZ243" s="84" t="s">
        <v>56</v>
      </c>
      <c r="BD243" s="83" t="s">
        <v>115</v>
      </c>
      <c r="BP243" s="56">
        <f>SUM(BP246:BP247)</f>
        <v>0</v>
      </c>
    </row>
    <row r="244" spans="2:70" s="16" customFormat="1" ht="48" customHeight="1">
      <c r="B244" s="17"/>
      <c r="C244" s="87">
        <f>+C242+1</f>
        <v>95</v>
      </c>
      <c r="D244" s="87" t="s">
        <v>116</v>
      </c>
      <c r="E244" s="88" t="s">
        <v>587</v>
      </c>
      <c r="F244" s="192" t="s">
        <v>588</v>
      </c>
      <c r="G244" s="192"/>
      <c r="H244" s="192"/>
      <c r="I244" s="192"/>
      <c r="J244" s="89" t="s">
        <v>138</v>
      </c>
      <c r="K244" s="90">
        <v>2</v>
      </c>
      <c r="L244" s="193"/>
      <c r="M244" s="194"/>
      <c r="N244" s="195">
        <f t="shared" ref="N244:N245" si="30">ROUND(L244*K244,2)</f>
        <v>0</v>
      </c>
      <c r="O244" s="195"/>
      <c r="P244" s="195"/>
      <c r="Q244" s="195"/>
      <c r="R244" s="19"/>
      <c r="S244" s="111"/>
      <c r="T244" s="111"/>
      <c r="U244" s="111"/>
      <c r="V244" s="111"/>
      <c r="W244" s="111"/>
      <c r="X244" s="111"/>
      <c r="Y244" s="111"/>
      <c r="Z244" s="111"/>
      <c r="AA244" s="111"/>
      <c r="AB244" s="111"/>
      <c r="AC244" s="111"/>
      <c r="AD244" s="111"/>
      <c r="AE244" s="111"/>
      <c r="AF244" s="111"/>
      <c r="AG244" s="111"/>
      <c r="AH244" s="111"/>
      <c r="AI244" s="111"/>
      <c r="AJ244" s="111"/>
      <c r="AK244" s="111"/>
      <c r="AL244" s="111"/>
      <c r="AM244" s="111"/>
      <c r="AN244" s="111"/>
      <c r="AO244" s="111"/>
      <c r="AP244" s="111"/>
      <c r="AQ244" s="111"/>
      <c r="AR244" s="111"/>
      <c r="AS244" s="111"/>
      <c r="AW244" s="8" t="s">
        <v>156</v>
      </c>
      <c r="AY244" s="8" t="s">
        <v>116</v>
      </c>
      <c r="AZ244" s="8" t="s">
        <v>67</v>
      </c>
      <c r="BD244" s="8" t="s">
        <v>115</v>
      </c>
      <c r="BJ244" s="51" t="e">
        <f>IF(#REF!="základní",N244,0)</f>
        <v>#REF!</v>
      </c>
      <c r="BK244" s="51" t="e">
        <f>IF(#REF!="snížená",N244,0)</f>
        <v>#REF!</v>
      </c>
      <c r="BL244" s="51" t="e">
        <f>IF(#REF!="zákl. přenesená",N244,0)</f>
        <v>#REF!</v>
      </c>
      <c r="BM244" s="51" t="e">
        <f>IF(#REF!="sníž. přenesená",N244,0)</f>
        <v>#REF!</v>
      </c>
      <c r="BN244" s="51" t="e">
        <f>IF(#REF!="nulová",N244,0)</f>
        <v>#REF!</v>
      </c>
      <c r="BO244" s="8" t="s">
        <v>56</v>
      </c>
      <c r="BP244" s="51">
        <f>ROUND(L244*K244,2)</f>
        <v>0</v>
      </c>
      <c r="BQ244" s="8" t="s">
        <v>156</v>
      </c>
      <c r="BR244" s="8" t="s">
        <v>314</v>
      </c>
    </row>
    <row r="245" spans="2:70" s="16" customFormat="1" ht="25.5" customHeight="1">
      <c r="B245" s="17"/>
      <c r="C245" s="97">
        <f t="shared" si="29"/>
        <v>96</v>
      </c>
      <c r="D245" s="97" t="s">
        <v>166</v>
      </c>
      <c r="E245" s="98" t="s">
        <v>589</v>
      </c>
      <c r="F245" s="198" t="s">
        <v>590</v>
      </c>
      <c r="G245" s="198"/>
      <c r="H245" s="198"/>
      <c r="I245" s="198"/>
      <c r="J245" s="99" t="s">
        <v>138</v>
      </c>
      <c r="K245" s="100">
        <v>2</v>
      </c>
      <c r="L245" s="193"/>
      <c r="M245" s="194"/>
      <c r="N245" s="199">
        <f t="shared" si="30"/>
        <v>0</v>
      </c>
      <c r="O245" s="195"/>
      <c r="P245" s="195"/>
      <c r="Q245" s="195"/>
      <c r="R245" s="19"/>
      <c r="S245" s="111"/>
      <c r="T245" s="111"/>
      <c r="U245" s="111"/>
      <c r="V245" s="111"/>
      <c r="W245" s="111"/>
      <c r="X245" s="111"/>
      <c r="Y245" s="111"/>
      <c r="Z245" s="111"/>
      <c r="AA245" s="111"/>
      <c r="AB245" s="111"/>
      <c r="AC245" s="111"/>
      <c r="AD245" s="111"/>
      <c r="AE245" s="111"/>
      <c r="AF245" s="111"/>
      <c r="AG245" s="111"/>
      <c r="AH245" s="111"/>
      <c r="AI245" s="111"/>
      <c r="AJ245" s="111"/>
      <c r="AK245" s="111"/>
      <c r="AL245" s="111"/>
      <c r="AM245" s="111"/>
      <c r="AN245" s="111"/>
      <c r="AO245" s="111"/>
      <c r="AP245" s="111"/>
      <c r="AQ245" s="111"/>
      <c r="AR245" s="111"/>
      <c r="AS245" s="111"/>
      <c r="AW245" s="8" t="s">
        <v>185</v>
      </c>
      <c r="AY245" s="8" t="s">
        <v>166</v>
      </c>
      <c r="AZ245" s="8" t="s">
        <v>67</v>
      </c>
      <c r="BD245" s="8" t="s">
        <v>115</v>
      </c>
      <c r="BJ245" s="51" t="e">
        <f>IF(#REF!="základní",N245,0)</f>
        <v>#REF!</v>
      </c>
      <c r="BK245" s="51" t="e">
        <f>IF(#REF!="snížená",N245,0)</f>
        <v>#REF!</v>
      </c>
      <c r="BL245" s="51" t="e">
        <f>IF(#REF!="zákl. přenesená",N245,0)</f>
        <v>#REF!</v>
      </c>
      <c r="BM245" s="51" t="e">
        <f>IF(#REF!="sníž. přenesená",N245,0)</f>
        <v>#REF!</v>
      </c>
      <c r="BN245" s="51" t="e">
        <f>IF(#REF!="nulová",N245,0)</f>
        <v>#REF!</v>
      </c>
      <c r="BO245" s="8" t="s">
        <v>56</v>
      </c>
      <c r="BP245" s="51">
        <f>ROUND(L245*K245,2)</f>
        <v>0</v>
      </c>
      <c r="BQ245" s="8" t="s">
        <v>156</v>
      </c>
      <c r="BR245" s="8" t="s">
        <v>274</v>
      </c>
    </row>
    <row r="246" spans="2:70" s="16" customFormat="1" ht="25.5" customHeight="1">
      <c r="B246" s="17"/>
      <c r="C246" s="87">
        <f t="shared" si="29"/>
        <v>97</v>
      </c>
      <c r="D246" s="87" t="s">
        <v>116</v>
      </c>
      <c r="E246" s="88" t="s">
        <v>318</v>
      </c>
      <c r="F246" s="192" t="s">
        <v>591</v>
      </c>
      <c r="G246" s="192"/>
      <c r="H246" s="192"/>
      <c r="I246" s="192"/>
      <c r="J246" s="89" t="s">
        <v>119</v>
      </c>
      <c r="K246" s="90">
        <v>15</v>
      </c>
      <c r="L246" s="193"/>
      <c r="M246" s="194"/>
      <c r="N246" s="195">
        <f>ROUND(L246*K246,2)</f>
        <v>0</v>
      </c>
      <c r="O246" s="195"/>
      <c r="P246" s="195"/>
      <c r="Q246" s="195"/>
      <c r="R246" s="19"/>
      <c r="S246" s="127"/>
      <c r="T246" s="127"/>
      <c r="U246" s="127"/>
      <c r="V246" s="127"/>
      <c r="W246" s="127"/>
      <c r="X246" s="127"/>
      <c r="Y246" s="127"/>
      <c r="Z246" s="127"/>
      <c r="AA246" s="127"/>
      <c r="AB246" s="127"/>
      <c r="AC246" s="127"/>
      <c r="AD246" s="127"/>
      <c r="AE246" s="127"/>
      <c r="AF246" s="127"/>
      <c r="AG246" s="127"/>
      <c r="AH246" s="127"/>
      <c r="AI246" s="127"/>
      <c r="AJ246" s="127"/>
      <c r="AK246" s="127"/>
      <c r="AL246" s="127"/>
      <c r="AM246" s="127"/>
      <c r="AN246" s="127"/>
      <c r="AO246" s="127"/>
      <c r="AP246" s="127"/>
      <c r="AQ246" s="127"/>
      <c r="AR246" s="127"/>
      <c r="AS246" s="127"/>
      <c r="AW246" s="8" t="s">
        <v>156</v>
      </c>
      <c r="AY246" s="8" t="s">
        <v>116</v>
      </c>
      <c r="AZ246" s="8" t="s">
        <v>67</v>
      </c>
      <c r="BD246" s="8" t="s">
        <v>115</v>
      </c>
      <c r="BJ246" s="51" t="e">
        <f>IF(#REF!="základní",N246,0)</f>
        <v>#REF!</v>
      </c>
      <c r="BK246" s="51" t="e">
        <f>IF(#REF!="snížená",N246,0)</f>
        <v>#REF!</v>
      </c>
      <c r="BL246" s="51" t="e">
        <f>IF(#REF!="zákl. přenesená",N246,0)</f>
        <v>#REF!</v>
      </c>
      <c r="BM246" s="51" t="e">
        <f>IF(#REF!="sníž. přenesená",N246,0)</f>
        <v>#REF!</v>
      </c>
      <c r="BN246" s="51" t="e">
        <f>IF(#REF!="nulová",N246,0)</f>
        <v>#REF!</v>
      </c>
      <c r="BO246" s="8" t="s">
        <v>56</v>
      </c>
      <c r="BP246" s="51">
        <f>ROUND(L246*K246,2)</f>
        <v>0</v>
      </c>
      <c r="BQ246" s="8" t="s">
        <v>156</v>
      </c>
      <c r="BR246" s="8" t="s">
        <v>319</v>
      </c>
    </row>
    <row r="247" spans="2:70" s="16" customFormat="1" ht="25.5" customHeight="1">
      <c r="B247" s="17"/>
      <c r="C247" s="87">
        <f t="shared" si="29"/>
        <v>98</v>
      </c>
      <c r="D247" s="87" t="s">
        <v>116</v>
      </c>
      <c r="E247" s="88" t="s">
        <v>320</v>
      </c>
      <c r="F247" s="192" t="s">
        <v>321</v>
      </c>
      <c r="G247" s="192"/>
      <c r="H247" s="192"/>
      <c r="I247" s="192"/>
      <c r="J247" s="89" t="s">
        <v>261</v>
      </c>
      <c r="K247" s="3"/>
      <c r="L247" s="193"/>
      <c r="M247" s="194"/>
      <c r="N247" s="195">
        <f>ROUND(L247*K247,2)</f>
        <v>0</v>
      </c>
      <c r="O247" s="195"/>
      <c r="P247" s="195"/>
      <c r="Q247" s="195"/>
      <c r="R247" s="19"/>
      <c r="S247" s="111"/>
      <c r="T247" s="111"/>
      <c r="U247" s="111"/>
      <c r="V247" s="111"/>
      <c r="W247" s="111"/>
      <c r="X247" s="111"/>
      <c r="Y247" s="111"/>
      <c r="Z247" s="111"/>
      <c r="AA247" s="111"/>
      <c r="AB247" s="111"/>
      <c r="AC247" s="111"/>
      <c r="AD247" s="111"/>
      <c r="AE247" s="111"/>
      <c r="AF247" s="111"/>
      <c r="AG247" s="111"/>
      <c r="AH247" s="111"/>
      <c r="AI247" s="111"/>
      <c r="AJ247" s="111"/>
      <c r="AK247" s="111"/>
      <c r="AL247" s="111"/>
      <c r="AM247" s="111"/>
      <c r="AN247" s="111"/>
      <c r="AO247" s="111"/>
      <c r="AP247" s="111"/>
      <c r="AQ247" s="111"/>
      <c r="AR247" s="111"/>
      <c r="AS247" s="111"/>
      <c r="AW247" s="8" t="s">
        <v>156</v>
      </c>
      <c r="AY247" s="8" t="s">
        <v>116</v>
      </c>
      <c r="AZ247" s="8" t="s">
        <v>67</v>
      </c>
      <c r="BD247" s="8" t="s">
        <v>115</v>
      </c>
      <c r="BJ247" s="51" t="e">
        <f>IF(#REF!="základní",N247,0)</f>
        <v>#REF!</v>
      </c>
      <c r="BK247" s="51" t="e">
        <f>IF(#REF!="snížená",N247,0)</f>
        <v>#REF!</v>
      </c>
      <c r="BL247" s="51" t="e">
        <f>IF(#REF!="zákl. přenesená",N247,0)</f>
        <v>#REF!</v>
      </c>
      <c r="BM247" s="51" t="e">
        <f>IF(#REF!="sníž. přenesená",N247,0)</f>
        <v>#REF!</v>
      </c>
      <c r="BN247" s="51" t="e">
        <f>IF(#REF!="nulová",N247,0)</f>
        <v>#REF!</v>
      </c>
      <c r="BO247" s="8" t="s">
        <v>56</v>
      </c>
      <c r="BP247" s="51">
        <f>ROUND(L247*K247,2)</f>
        <v>0</v>
      </c>
      <c r="BQ247" s="8" t="s">
        <v>156</v>
      </c>
      <c r="BR247" s="8" t="s">
        <v>322</v>
      </c>
    </row>
    <row r="248" spans="2:70" s="77" customFormat="1" ht="29.85" customHeight="1">
      <c r="B248" s="76"/>
      <c r="D248" s="86" t="s">
        <v>94</v>
      </c>
      <c r="E248" s="86"/>
      <c r="F248" s="86"/>
      <c r="G248" s="86"/>
      <c r="H248" s="86"/>
      <c r="I248" s="86"/>
      <c r="J248" s="86"/>
      <c r="K248" s="86"/>
      <c r="L248" s="86"/>
      <c r="M248" s="86"/>
      <c r="N248" s="202">
        <f>SUM(N249:Q253)</f>
        <v>0</v>
      </c>
      <c r="O248" s="203"/>
      <c r="P248" s="203"/>
      <c r="Q248" s="203"/>
      <c r="R248" s="79"/>
      <c r="S248" s="111"/>
      <c r="T248" s="111"/>
      <c r="U248" s="111"/>
      <c r="V248" s="111"/>
      <c r="W248" s="111"/>
      <c r="X248" s="111"/>
      <c r="Y248" s="111"/>
      <c r="Z248" s="111"/>
      <c r="AA248" s="111"/>
      <c r="AB248" s="111"/>
      <c r="AC248" s="111"/>
      <c r="AD248" s="111"/>
      <c r="AE248" s="111"/>
      <c r="AF248" s="111"/>
      <c r="AG248" s="111"/>
      <c r="AH248" s="111"/>
      <c r="AI248" s="111"/>
      <c r="AJ248" s="111"/>
      <c r="AK248" s="111"/>
      <c r="AL248" s="111"/>
      <c r="AM248" s="111"/>
      <c r="AN248" s="111"/>
      <c r="AO248" s="111"/>
      <c r="AP248" s="111"/>
      <c r="AQ248" s="111"/>
      <c r="AR248" s="111"/>
      <c r="AS248" s="111"/>
      <c r="AW248" s="83" t="s">
        <v>67</v>
      </c>
      <c r="AY248" s="84" t="s">
        <v>53</v>
      </c>
      <c r="AZ248" s="84" t="s">
        <v>56</v>
      </c>
      <c r="BD248" s="83" t="s">
        <v>115</v>
      </c>
      <c r="BP248" s="56">
        <f>SUM(BP249:BP253)</f>
        <v>0</v>
      </c>
    </row>
    <row r="249" spans="2:70" s="16" customFormat="1" ht="25.5" customHeight="1">
      <c r="B249" s="17"/>
      <c r="C249" s="87">
        <f>+C247+1</f>
        <v>99</v>
      </c>
      <c r="D249" s="87" t="s">
        <v>116</v>
      </c>
      <c r="E249" s="88" t="s">
        <v>603</v>
      </c>
      <c r="F249" s="192" t="s">
        <v>592</v>
      </c>
      <c r="G249" s="192"/>
      <c r="H249" s="192"/>
      <c r="I249" s="192"/>
      <c r="J249" s="89" t="s">
        <v>138</v>
      </c>
      <c r="K249" s="90">
        <v>4</v>
      </c>
      <c r="L249" s="193"/>
      <c r="M249" s="194"/>
      <c r="N249" s="195">
        <f t="shared" ref="N249:N253" si="31">ROUND(L249*K249,2)</f>
        <v>0</v>
      </c>
      <c r="O249" s="195"/>
      <c r="P249" s="195"/>
      <c r="Q249" s="195"/>
      <c r="R249" s="19"/>
      <c r="S249" s="127"/>
      <c r="T249" s="127"/>
      <c r="U249" s="127"/>
      <c r="V249" s="127"/>
      <c r="W249" s="127"/>
      <c r="X249" s="127"/>
      <c r="Y249" s="127"/>
      <c r="Z249" s="127"/>
      <c r="AA249" s="127"/>
      <c r="AB249" s="127"/>
      <c r="AC249" s="127"/>
      <c r="AD249" s="127"/>
      <c r="AE249" s="127"/>
      <c r="AF249" s="127"/>
      <c r="AG249" s="127"/>
      <c r="AH249" s="127"/>
      <c r="AI249" s="127"/>
      <c r="AJ249" s="127"/>
      <c r="AK249" s="127"/>
      <c r="AL249" s="127"/>
      <c r="AM249" s="127"/>
      <c r="AN249" s="127"/>
      <c r="AO249" s="127"/>
      <c r="AP249" s="127"/>
      <c r="AQ249" s="127"/>
      <c r="AR249" s="127"/>
      <c r="AS249" s="127"/>
      <c r="AW249" s="8" t="s">
        <v>156</v>
      </c>
      <c r="AY249" s="8" t="s">
        <v>116</v>
      </c>
      <c r="AZ249" s="8" t="s">
        <v>67</v>
      </c>
      <c r="BD249" s="8" t="s">
        <v>115</v>
      </c>
      <c r="BJ249" s="51" t="e">
        <f>IF(#REF!="základní",N249,0)</f>
        <v>#REF!</v>
      </c>
      <c r="BK249" s="51" t="e">
        <f>IF(#REF!="snížená",N249,0)</f>
        <v>#REF!</v>
      </c>
      <c r="BL249" s="51" t="e">
        <f>IF(#REF!="zákl. přenesená",N249,0)</f>
        <v>#REF!</v>
      </c>
      <c r="BM249" s="51" t="e">
        <f>IF(#REF!="sníž. přenesená",N249,0)</f>
        <v>#REF!</v>
      </c>
      <c r="BN249" s="51" t="e">
        <f>IF(#REF!="nulová",N249,0)</f>
        <v>#REF!</v>
      </c>
      <c r="BO249" s="8" t="s">
        <v>56</v>
      </c>
      <c r="BP249" s="51">
        <f>ROUND(L249*K249,2)</f>
        <v>0</v>
      </c>
      <c r="BQ249" s="8" t="s">
        <v>156</v>
      </c>
      <c r="BR249" s="8" t="s">
        <v>323</v>
      </c>
    </row>
    <row r="250" spans="2:70" s="16" customFormat="1" ht="16.5" customHeight="1">
      <c r="B250" s="17"/>
      <c r="C250" s="87">
        <f>+C249+1</f>
        <v>100</v>
      </c>
      <c r="D250" s="87" t="s">
        <v>116</v>
      </c>
      <c r="E250" s="88" t="s">
        <v>604</v>
      </c>
      <c r="F250" s="192" t="s">
        <v>594</v>
      </c>
      <c r="G250" s="192"/>
      <c r="H250" s="192"/>
      <c r="I250" s="192"/>
      <c r="J250" s="89" t="s">
        <v>138</v>
      </c>
      <c r="K250" s="90">
        <v>4</v>
      </c>
      <c r="L250" s="193"/>
      <c r="M250" s="194"/>
      <c r="N250" s="195">
        <f t="shared" si="31"/>
        <v>0</v>
      </c>
      <c r="O250" s="195"/>
      <c r="P250" s="195"/>
      <c r="Q250" s="195"/>
      <c r="R250" s="19"/>
      <c r="S250" s="127"/>
      <c r="T250" s="127"/>
      <c r="U250" s="127"/>
      <c r="V250" s="127"/>
      <c r="W250" s="127"/>
      <c r="X250" s="127"/>
      <c r="Y250" s="127"/>
      <c r="Z250" s="127"/>
      <c r="AA250" s="127"/>
      <c r="AB250" s="127"/>
      <c r="AC250" s="127"/>
      <c r="AD250" s="127"/>
      <c r="AE250" s="127"/>
      <c r="AF250" s="127"/>
      <c r="AG250" s="127"/>
      <c r="AH250" s="127"/>
      <c r="AI250" s="127"/>
      <c r="AJ250" s="127"/>
      <c r="AK250" s="127"/>
      <c r="AL250" s="127"/>
      <c r="AM250" s="127"/>
      <c r="AN250" s="127"/>
      <c r="AO250" s="127"/>
      <c r="AP250" s="127"/>
      <c r="AQ250" s="127"/>
      <c r="AR250" s="127"/>
      <c r="AS250" s="127"/>
      <c r="AW250" s="8" t="s">
        <v>156</v>
      </c>
      <c r="AY250" s="8" t="s">
        <v>116</v>
      </c>
      <c r="AZ250" s="8" t="s">
        <v>67</v>
      </c>
      <c r="BD250" s="8" t="s">
        <v>115</v>
      </c>
      <c r="BJ250" s="51" t="e">
        <f>IF(#REF!="základní",N250,0)</f>
        <v>#REF!</v>
      </c>
      <c r="BK250" s="51" t="e">
        <f>IF(#REF!="snížená",N250,0)</f>
        <v>#REF!</v>
      </c>
      <c r="BL250" s="51" t="e">
        <f>IF(#REF!="zákl. přenesená",N250,0)</f>
        <v>#REF!</v>
      </c>
      <c r="BM250" s="51" t="e">
        <f>IF(#REF!="sníž. přenesená",N250,0)</f>
        <v>#REF!</v>
      </c>
      <c r="BN250" s="51" t="e">
        <f>IF(#REF!="nulová",N250,0)</f>
        <v>#REF!</v>
      </c>
      <c r="BO250" s="8" t="s">
        <v>56</v>
      </c>
      <c r="BP250" s="51">
        <f>ROUND(L250*K250,2)</f>
        <v>0</v>
      </c>
      <c r="BQ250" s="8" t="s">
        <v>156</v>
      </c>
      <c r="BR250" s="8" t="s">
        <v>324</v>
      </c>
    </row>
    <row r="251" spans="2:70" s="16" customFormat="1" ht="16.5" customHeight="1">
      <c r="B251" s="17"/>
      <c r="C251" s="87">
        <f t="shared" ref="C251:C253" si="32">+C250+1</f>
        <v>101</v>
      </c>
      <c r="D251" s="87" t="s">
        <v>116</v>
      </c>
      <c r="E251" s="88" t="s">
        <v>605</v>
      </c>
      <c r="F251" s="192" t="s">
        <v>593</v>
      </c>
      <c r="G251" s="192"/>
      <c r="H251" s="192"/>
      <c r="I251" s="192"/>
      <c r="J251" s="89" t="s">
        <v>142</v>
      </c>
      <c r="K251" s="90">
        <v>4</v>
      </c>
      <c r="L251" s="193"/>
      <c r="M251" s="194"/>
      <c r="N251" s="195">
        <f t="shared" si="31"/>
        <v>0</v>
      </c>
      <c r="O251" s="195"/>
      <c r="P251" s="195"/>
      <c r="Q251" s="195"/>
      <c r="R251" s="19"/>
      <c r="S251" s="128"/>
      <c r="T251" s="128"/>
      <c r="U251" s="128"/>
      <c r="V251" s="128"/>
      <c r="W251" s="128"/>
      <c r="X251" s="128"/>
      <c r="Y251" s="128"/>
      <c r="Z251" s="128"/>
      <c r="AA251" s="128"/>
      <c r="AB251" s="128"/>
      <c r="AC251" s="128"/>
      <c r="AD251" s="128"/>
      <c r="AE251" s="128"/>
      <c r="AF251" s="128"/>
      <c r="AG251" s="128"/>
      <c r="AH251" s="128"/>
      <c r="AI251" s="128"/>
      <c r="AJ251" s="128"/>
      <c r="AK251" s="128"/>
      <c r="AL251" s="128"/>
      <c r="AM251" s="128"/>
      <c r="AN251" s="128"/>
      <c r="AO251" s="128"/>
      <c r="AP251" s="128"/>
      <c r="AQ251" s="128"/>
      <c r="AR251" s="128"/>
      <c r="AS251" s="128"/>
      <c r="AW251" s="8" t="s">
        <v>156</v>
      </c>
      <c r="AY251" s="8" t="s">
        <v>116</v>
      </c>
      <c r="AZ251" s="8" t="s">
        <v>67</v>
      </c>
      <c r="BD251" s="8" t="s">
        <v>115</v>
      </c>
      <c r="BJ251" s="51" t="e">
        <f>IF(#REF!="základní",N251,0)</f>
        <v>#REF!</v>
      </c>
      <c r="BK251" s="51" t="e">
        <f>IF(#REF!="snížená",N251,0)</f>
        <v>#REF!</v>
      </c>
      <c r="BL251" s="51" t="e">
        <f>IF(#REF!="zákl. přenesená",N251,0)</f>
        <v>#REF!</v>
      </c>
      <c r="BM251" s="51" t="e">
        <f>IF(#REF!="sníž. přenesená",N251,0)</f>
        <v>#REF!</v>
      </c>
      <c r="BN251" s="51" t="e">
        <f>IF(#REF!="nulová",N251,0)</f>
        <v>#REF!</v>
      </c>
      <c r="BO251" s="8" t="s">
        <v>56</v>
      </c>
      <c r="BP251" s="51">
        <f>ROUND(L251*K251,2)</f>
        <v>0</v>
      </c>
      <c r="BQ251" s="8" t="s">
        <v>156</v>
      </c>
      <c r="BR251" s="8" t="s">
        <v>325</v>
      </c>
    </row>
    <row r="252" spans="2:70" s="16" customFormat="1" ht="16.5" customHeight="1">
      <c r="B252" s="17"/>
      <c r="C252" s="87">
        <f t="shared" si="32"/>
        <v>102</v>
      </c>
      <c r="D252" s="87"/>
      <c r="E252" s="88" t="s">
        <v>606</v>
      </c>
      <c r="F252" s="192" t="s">
        <v>437</v>
      </c>
      <c r="G252" s="192"/>
      <c r="H252" s="192"/>
      <c r="I252" s="192"/>
      <c r="J252" s="89" t="s">
        <v>142</v>
      </c>
      <c r="K252" s="90">
        <v>1</v>
      </c>
      <c r="L252" s="193"/>
      <c r="M252" s="194"/>
      <c r="N252" s="195">
        <f t="shared" ref="N252" si="33">ROUND(L252*K252,2)</f>
        <v>0</v>
      </c>
      <c r="O252" s="195"/>
      <c r="P252" s="195"/>
      <c r="Q252" s="195"/>
      <c r="R252" s="19"/>
      <c r="S252" s="127"/>
      <c r="T252" s="127"/>
      <c r="U252" s="127"/>
      <c r="V252" s="127"/>
      <c r="W252" s="127"/>
      <c r="X252" s="127"/>
      <c r="Y252" s="127"/>
      <c r="Z252" s="127"/>
      <c r="AA252" s="127"/>
      <c r="AB252" s="127"/>
      <c r="AC252" s="127"/>
      <c r="AD252" s="127"/>
      <c r="AE252" s="127"/>
      <c r="AF252" s="127"/>
      <c r="AG252" s="127"/>
      <c r="AH252" s="127"/>
      <c r="AI252" s="127"/>
      <c r="AJ252" s="127"/>
      <c r="AK252" s="127"/>
      <c r="AL252" s="127"/>
      <c r="AM252" s="127"/>
      <c r="AN252" s="127"/>
      <c r="AO252" s="127"/>
      <c r="AP252" s="127"/>
      <c r="AQ252" s="127"/>
      <c r="AR252" s="127"/>
      <c r="AS252" s="127"/>
      <c r="AW252" s="8" t="s">
        <v>156</v>
      </c>
      <c r="AY252" s="8" t="s">
        <v>116</v>
      </c>
      <c r="AZ252" s="8" t="s">
        <v>67</v>
      </c>
      <c r="BD252" s="8" t="s">
        <v>115</v>
      </c>
      <c r="BJ252" s="51" t="e">
        <f>IF(#REF!="základní",N252,0)</f>
        <v>#REF!</v>
      </c>
      <c r="BK252" s="51" t="e">
        <f>IF(#REF!="snížená",N252,0)</f>
        <v>#REF!</v>
      </c>
      <c r="BL252" s="51" t="e">
        <f>IF(#REF!="zákl. přenesená",N252,0)</f>
        <v>#REF!</v>
      </c>
      <c r="BM252" s="51" t="e">
        <f>IF(#REF!="sníž. přenesená",N252,0)</f>
        <v>#REF!</v>
      </c>
      <c r="BN252" s="51" t="e">
        <f>IF(#REF!="nulová",N252,0)</f>
        <v>#REF!</v>
      </c>
      <c r="BO252" s="8" t="s">
        <v>56</v>
      </c>
      <c r="BP252" s="51">
        <f t="shared" ref="BP252" si="34">ROUND(L252*K252,2)</f>
        <v>0</v>
      </c>
      <c r="BQ252" s="8" t="s">
        <v>156</v>
      </c>
      <c r="BR252" s="8" t="s">
        <v>325</v>
      </c>
    </row>
    <row r="253" spans="2:70" s="16" customFormat="1" ht="25.5" customHeight="1">
      <c r="B253" s="17"/>
      <c r="C253" s="87">
        <f t="shared" si="32"/>
        <v>103</v>
      </c>
      <c r="D253" s="87" t="s">
        <v>116</v>
      </c>
      <c r="E253" s="88" t="s">
        <v>326</v>
      </c>
      <c r="F253" s="192" t="s">
        <v>327</v>
      </c>
      <c r="G253" s="192"/>
      <c r="H253" s="192"/>
      <c r="I253" s="192"/>
      <c r="J253" s="89" t="s">
        <v>261</v>
      </c>
      <c r="K253" s="3"/>
      <c r="L253" s="193"/>
      <c r="M253" s="194"/>
      <c r="N253" s="195">
        <f t="shared" si="31"/>
        <v>0</v>
      </c>
      <c r="O253" s="195"/>
      <c r="P253" s="195"/>
      <c r="Q253" s="195"/>
      <c r="R253" s="19"/>
      <c r="S253" s="111"/>
      <c r="T253" s="111"/>
      <c r="U253" s="111"/>
      <c r="V253" s="111"/>
      <c r="W253" s="111"/>
      <c r="X253" s="111"/>
      <c r="Y253" s="111"/>
      <c r="Z253" s="111"/>
      <c r="AA253" s="111"/>
      <c r="AB253" s="111"/>
      <c r="AC253" s="111"/>
      <c r="AD253" s="111"/>
      <c r="AE253" s="111"/>
      <c r="AF253" s="111"/>
      <c r="AG253" s="111"/>
      <c r="AH253" s="111"/>
      <c r="AI253" s="111"/>
      <c r="AJ253" s="111"/>
      <c r="AK253" s="111"/>
      <c r="AL253" s="111"/>
      <c r="AM253" s="111"/>
      <c r="AN253" s="111"/>
      <c r="AO253" s="111"/>
      <c r="AP253" s="111"/>
      <c r="AQ253" s="111"/>
      <c r="AR253" s="111"/>
      <c r="AS253" s="111"/>
      <c r="AW253" s="8" t="s">
        <v>156</v>
      </c>
      <c r="AY253" s="8" t="s">
        <v>116</v>
      </c>
      <c r="AZ253" s="8" t="s">
        <v>67</v>
      </c>
      <c r="BD253" s="8" t="s">
        <v>115</v>
      </c>
      <c r="BJ253" s="51" t="e">
        <f>IF(#REF!="základní",N253,0)</f>
        <v>#REF!</v>
      </c>
      <c r="BK253" s="51" t="e">
        <f>IF(#REF!="snížená",N253,0)</f>
        <v>#REF!</v>
      </c>
      <c r="BL253" s="51" t="e">
        <f>IF(#REF!="zákl. přenesená",N253,0)</f>
        <v>#REF!</v>
      </c>
      <c r="BM253" s="51" t="e">
        <f>IF(#REF!="sníž. přenesená",N253,0)</f>
        <v>#REF!</v>
      </c>
      <c r="BN253" s="51" t="e">
        <f>IF(#REF!="nulová",N253,0)</f>
        <v>#REF!</v>
      </c>
      <c r="BO253" s="8" t="s">
        <v>56</v>
      </c>
      <c r="BP253" s="51">
        <f>ROUND(L253*K253,2)</f>
        <v>0</v>
      </c>
      <c r="BQ253" s="8" t="s">
        <v>156</v>
      </c>
      <c r="BR253" s="8" t="s">
        <v>328</v>
      </c>
    </row>
    <row r="254" spans="2:70" s="77" customFormat="1" ht="29.85" customHeight="1">
      <c r="B254" s="76"/>
      <c r="D254" s="86" t="s">
        <v>95</v>
      </c>
      <c r="E254" s="86"/>
      <c r="F254" s="86"/>
      <c r="G254" s="86"/>
      <c r="H254" s="86"/>
      <c r="I254" s="86"/>
      <c r="J254" s="86"/>
      <c r="K254" s="86"/>
      <c r="L254" s="86"/>
      <c r="M254" s="86"/>
      <c r="N254" s="202">
        <f>SUM(N255:Q259)</f>
        <v>0</v>
      </c>
      <c r="O254" s="203"/>
      <c r="P254" s="203"/>
      <c r="Q254" s="203"/>
      <c r="R254" s="79"/>
      <c r="S254" s="111"/>
      <c r="T254" s="111"/>
      <c r="U254" s="111"/>
      <c r="V254" s="111"/>
      <c r="W254" s="111"/>
      <c r="X254" s="111"/>
      <c r="Y254" s="111"/>
      <c r="Z254" s="111"/>
      <c r="AA254" s="111"/>
      <c r="AB254" s="111"/>
      <c r="AC254" s="111"/>
      <c r="AD254" s="111"/>
      <c r="AE254" s="111"/>
      <c r="AF254" s="111"/>
      <c r="AG254" s="111"/>
      <c r="AH254" s="111"/>
      <c r="AI254" s="111"/>
      <c r="AJ254" s="111"/>
      <c r="AK254" s="111"/>
      <c r="AL254" s="111"/>
      <c r="AM254" s="111"/>
      <c r="AN254" s="111"/>
      <c r="AO254" s="111"/>
      <c r="AP254" s="111"/>
      <c r="AQ254" s="111"/>
      <c r="AR254" s="111"/>
      <c r="AS254" s="111"/>
      <c r="AW254" s="83" t="s">
        <v>67</v>
      </c>
      <c r="AY254" s="84" t="s">
        <v>53</v>
      </c>
      <c r="AZ254" s="84" t="s">
        <v>56</v>
      </c>
      <c r="BD254" s="83" t="s">
        <v>115</v>
      </c>
      <c r="BP254" s="56">
        <f>SUM(BP255:BP259)</f>
        <v>0</v>
      </c>
    </row>
    <row r="255" spans="2:70" s="16" customFormat="1" ht="25.5" customHeight="1">
      <c r="B255" s="17"/>
      <c r="C255" s="87">
        <f>+C253+1</f>
        <v>104</v>
      </c>
      <c r="D255" s="87" t="s">
        <v>116</v>
      </c>
      <c r="E255" s="88" t="s">
        <v>329</v>
      </c>
      <c r="F255" s="192" t="s">
        <v>330</v>
      </c>
      <c r="G255" s="192"/>
      <c r="H255" s="192"/>
      <c r="I255" s="192"/>
      <c r="J255" s="89" t="s">
        <v>119</v>
      </c>
      <c r="K255" s="90">
        <v>13.2</v>
      </c>
      <c r="L255" s="193"/>
      <c r="M255" s="194"/>
      <c r="N255" s="195">
        <f>ROUND(L255*K255,2)</f>
        <v>0</v>
      </c>
      <c r="O255" s="195"/>
      <c r="P255" s="195"/>
      <c r="Q255" s="195"/>
      <c r="R255" s="19"/>
      <c r="S255" s="111"/>
      <c r="T255" s="111"/>
      <c r="U255" s="111"/>
      <c r="V255" s="111"/>
      <c r="W255" s="111"/>
      <c r="X255" s="111"/>
      <c r="Y255" s="111"/>
      <c r="Z255" s="111"/>
      <c r="AA255" s="111"/>
      <c r="AB255" s="111"/>
      <c r="AC255" s="111"/>
      <c r="AD255" s="111"/>
      <c r="AE255" s="111"/>
      <c r="AF255" s="111"/>
      <c r="AG255" s="111"/>
      <c r="AH255" s="111"/>
      <c r="AI255" s="111"/>
      <c r="AJ255" s="111"/>
      <c r="AK255" s="111"/>
      <c r="AL255" s="111"/>
      <c r="AM255" s="111"/>
      <c r="AN255" s="111"/>
      <c r="AO255" s="111"/>
      <c r="AP255" s="111"/>
      <c r="AQ255" s="111"/>
      <c r="AR255" s="111"/>
      <c r="AS255" s="111"/>
      <c r="AW255" s="8" t="s">
        <v>156</v>
      </c>
      <c r="AY255" s="8" t="s">
        <v>116</v>
      </c>
      <c r="AZ255" s="8" t="s">
        <v>67</v>
      </c>
      <c r="BD255" s="8" t="s">
        <v>115</v>
      </c>
      <c r="BJ255" s="51" t="e">
        <f>IF(#REF!="základní",N255,0)</f>
        <v>#REF!</v>
      </c>
      <c r="BK255" s="51" t="e">
        <f>IF(#REF!="snížená",N255,0)</f>
        <v>#REF!</v>
      </c>
      <c r="BL255" s="51" t="e">
        <f>IF(#REF!="zákl. přenesená",N255,0)</f>
        <v>#REF!</v>
      </c>
      <c r="BM255" s="51" t="e">
        <f>IF(#REF!="sníž. přenesená",N255,0)</f>
        <v>#REF!</v>
      </c>
      <c r="BN255" s="51" t="e">
        <f>IF(#REF!="nulová",N255,0)</f>
        <v>#REF!</v>
      </c>
      <c r="BO255" s="8" t="s">
        <v>56</v>
      </c>
      <c r="BP255" s="51">
        <f>ROUND(L255*K255,2)</f>
        <v>0</v>
      </c>
      <c r="BQ255" s="8" t="s">
        <v>156</v>
      </c>
      <c r="BR255" s="8" t="s">
        <v>331</v>
      </c>
    </row>
    <row r="256" spans="2:70" s="16" customFormat="1" ht="38.25" customHeight="1">
      <c r="B256" s="17"/>
      <c r="C256" s="87">
        <f t="shared" ref="C256:C259" si="35">+C255+1</f>
        <v>105</v>
      </c>
      <c r="D256" s="87" t="s">
        <v>116</v>
      </c>
      <c r="E256" s="88" t="s">
        <v>476</v>
      </c>
      <c r="F256" s="192" t="s">
        <v>332</v>
      </c>
      <c r="G256" s="192"/>
      <c r="H256" s="192"/>
      <c r="I256" s="192"/>
      <c r="J256" s="89" t="s">
        <v>119</v>
      </c>
      <c r="K256" s="90">
        <v>13.2</v>
      </c>
      <c r="L256" s="193"/>
      <c r="M256" s="194"/>
      <c r="N256" s="195">
        <f>ROUND(L256*K256,2)</f>
        <v>0</v>
      </c>
      <c r="O256" s="195"/>
      <c r="P256" s="195"/>
      <c r="Q256" s="195"/>
      <c r="R256" s="19"/>
      <c r="S256" s="111"/>
      <c r="T256" s="111"/>
      <c r="U256" s="111"/>
      <c r="V256" s="111"/>
      <c r="W256" s="111"/>
      <c r="X256" s="111"/>
      <c r="Y256" s="111"/>
      <c r="Z256" s="111"/>
      <c r="AA256" s="111"/>
      <c r="AB256" s="111"/>
      <c r="AC256" s="111"/>
      <c r="AD256" s="111"/>
      <c r="AE256" s="111"/>
      <c r="AF256" s="111"/>
      <c r="AG256" s="111"/>
      <c r="AH256" s="111"/>
      <c r="AI256" s="111"/>
      <c r="AJ256" s="111"/>
      <c r="AK256" s="111"/>
      <c r="AL256" s="111"/>
      <c r="AM256" s="111"/>
      <c r="AN256" s="111"/>
      <c r="AO256" s="111"/>
      <c r="AP256" s="111"/>
      <c r="AQ256" s="111"/>
      <c r="AR256" s="111"/>
      <c r="AS256" s="111"/>
      <c r="AW256" s="8" t="s">
        <v>156</v>
      </c>
      <c r="AY256" s="8" t="s">
        <v>116</v>
      </c>
      <c r="AZ256" s="8" t="s">
        <v>67</v>
      </c>
      <c r="BD256" s="8" t="s">
        <v>115</v>
      </c>
      <c r="BJ256" s="51" t="e">
        <f>IF(#REF!="základní",N256,0)</f>
        <v>#REF!</v>
      </c>
      <c r="BK256" s="51" t="e">
        <f>IF(#REF!="snížená",N256,0)</f>
        <v>#REF!</v>
      </c>
      <c r="BL256" s="51" t="e">
        <f>IF(#REF!="zákl. přenesená",N256,0)</f>
        <v>#REF!</v>
      </c>
      <c r="BM256" s="51" t="e">
        <f>IF(#REF!="sníž. přenesená",N256,0)</f>
        <v>#REF!</v>
      </c>
      <c r="BN256" s="51" t="e">
        <f>IF(#REF!="nulová",N256,0)</f>
        <v>#REF!</v>
      </c>
      <c r="BO256" s="8" t="s">
        <v>56</v>
      </c>
      <c r="BP256" s="51">
        <f>ROUND(L256*K256,2)</f>
        <v>0</v>
      </c>
      <c r="BQ256" s="8" t="s">
        <v>156</v>
      </c>
      <c r="BR256" s="8" t="s">
        <v>333</v>
      </c>
    </row>
    <row r="257" spans="2:70" s="16" customFormat="1" ht="25.5" customHeight="1">
      <c r="B257" s="17"/>
      <c r="C257" s="87">
        <f t="shared" si="35"/>
        <v>106</v>
      </c>
      <c r="D257" s="97" t="s">
        <v>166</v>
      </c>
      <c r="E257" s="98" t="s">
        <v>595</v>
      </c>
      <c r="F257" s="198" t="s">
        <v>596</v>
      </c>
      <c r="G257" s="198"/>
      <c r="H257" s="198"/>
      <c r="I257" s="198"/>
      <c r="J257" s="99" t="s">
        <v>119</v>
      </c>
      <c r="K257" s="100">
        <v>14.52</v>
      </c>
      <c r="L257" s="193"/>
      <c r="M257" s="194"/>
      <c r="N257" s="199">
        <f>ROUND(L257*K257,2)</f>
        <v>0</v>
      </c>
      <c r="O257" s="195"/>
      <c r="P257" s="195"/>
      <c r="Q257" s="195"/>
      <c r="R257" s="19"/>
      <c r="S257" s="111"/>
      <c r="T257" s="111"/>
      <c r="U257" s="111"/>
      <c r="V257" s="111"/>
      <c r="W257" s="111"/>
      <c r="X257" s="111"/>
      <c r="Y257" s="111"/>
      <c r="Z257" s="111"/>
      <c r="AA257" s="111"/>
      <c r="AB257" s="111"/>
      <c r="AC257" s="111"/>
      <c r="AD257" s="111"/>
      <c r="AE257" s="111"/>
      <c r="AF257" s="111"/>
      <c r="AG257" s="111"/>
      <c r="AH257" s="111"/>
      <c r="AI257" s="111"/>
      <c r="AJ257" s="111"/>
      <c r="AK257" s="111"/>
      <c r="AL257" s="111"/>
      <c r="AM257" s="111"/>
      <c r="AN257" s="111"/>
      <c r="AO257" s="111"/>
      <c r="AP257" s="111"/>
      <c r="AQ257" s="111"/>
      <c r="AR257" s="111"/>
      <c r="AS257" s="111"/>
      <c r="AW257" s="8" t="s">
        <v>185</v>
      </c>
      <c r="AY257" s="8" t="s">
        <v>166</v>
      </c>
      <c r="AZ257" s="8" t="s">
        <v>67</v>
      </c>
      <c r="BD257" s="8" t="s">
        <v>115</v>
      </c>
      <c r="BJ257" s="51" t="e">
        <f>IF(#REF!="základní",N257,0)</f>
        <v>#REF!</v>
      </c>
      <c r="BK257" s="51" t="e">
        <f>IF(#REF!="snížená",N257,0)</f>
        <v>#REF!</v>
      </c>
      <c r="BL257" s="51" t="e">
        <f>IF(#REF!="zákl. přenesená",N257,0)</f>
        <v>#REF!</v>
      </c>
      <c r="BM257" s="51" t="e">
        <f>IF(#REF!="sníž. přenesená",N257,0)</f>
        <v>#REF!</v>
      </c>
      <c r="BN257" s="51" t="e">
        <f>IF(#REF!="nulová",N257,0)</f>
        <v>#REF!</v>
      </c>
      <c r="BO257" s="8" t="s">
        <v>56</v>
      </c>
      <c r="BP257" s="51">
        <f>ROUND(L257*K257,2)</f>
        <v>0</v>
      </c>
      <c r="BQ257" s="8" t="s">
        <v>156</v>
      </c>
      <c r="BR257" s="8" t="s">
        <v>334</v>
      </c>
    </row>
    <row r="258" spans="2:70" s="16" customFormat="1" ht="25.5" customHeight="1">
      <c r="B258" s="17"/>
      <c r="C258" s="87">
        <f t="shared" si="35"/>
        <v>107</v>
      </c>
      <c r="D258" s="87" t="s">
        <v>116</v>
      </c>
      <c r="E258" s="88" t="s">
        <v>598</v>
      </c>
      <c r="F258" s="192" t="s">
        <v>597</v>
      </c>
      <c r="G258" s="192"/>
      <c r="H258" s="192"/>
      <c r="I258" s="192"/>
      <c r="J258" s="89" t="s">
        <v>119</v>
      </c>
      <c r="K258" s="90">
        <v>13.2</v>
      </c>
      <c r="L258" s="193"/>
      <c r="M258" s="194"/>
      <c r="N258" s="195">
        <f>ROUND(L258*K258,2)</f>
        <v>0</v>
      </c>
      <c r="O258" s="195"/>
      <c r="P258" s="195"/>
      <c r="Q258" s="195"/>
      <c r="R258" s="19"/>
      <c r="S258" s="111"/>
      <c r="T258" s="111"/>
      <c r="U258" s="111"/>
      <c r="V258" s="111"/>
      <c r="W258" s="111"/>
      <c r="X258" s="111"/>
      <c r="Y258" s="111"/>
      <c r="Z258" s="111"/>
      <c r="AA258" s="111"/>
      <c r="AB258" s="111"/>
      <c r="AC258" s="111"/>
      <c r="AD258" s="111"/>
      <c r="AE258" s="111"/>
      <c r="AF258" s="111"/>
      <c r="AG258" s="111"/>
      <c r="AH258" s="111"/>
      <c r="AI258" s="111"/>
      <c r="AJ258" s="111"/>
      <c r="AK258" s="111"/>
      <c r="AL258" s="111"/>
      <c r="AM258" s="111"/>
      <c r="AN258" s="111"/>
      <c r="AO258" s="111"/>
      <c r="AP258" s="111"/>
      <c r="AQ258" s="111"/>
      <c r="AR258" s="111"/>
      <c r="AS258" s="111"/>
      <c r="AW258" s="8" t="s">
        <v>156</v>
      </c>
      <c r="AY258" s="8" t="s">
        <v>116</v>
      </c>
      <c r="AZ258" s="8" t="s">
        <v>67</v>
      </c>
      <c r="BD258" s="8" t="s">
        <v>115</v>
      </c>
      <c r="BJ258" s="51" t="e">
        <f>IF(#REF!="základní",N258,0)</f>
        <v>#REF!</v>
      </c>
      <c r="BK258" s="51" t="e">
        <f>IF(#REF!="snížená",N258,0)</f>
        <v>#REF!</v>
      </c>
      <c r="BL258" s="51" t="e">
        <f>IF(#REF!="zákl. přenesená",N258,0)</f>
        <v>#REF!</v>
      </c>
      <c r="BM258" s="51" t="e">
        <f>IF(#REF!="sníž. přenesená",N258,0)</f>
        <v>#REF!</v>
      </c>
      <c r="BN258" s="51" t="e">
        <f>IF(#REF!="nulová",N258,0)</f>
        <v>#REF!</v>
      </c>
      <c r="BO258" s="8" t="s">
        <v>56</v>
      </c>
      <c r="BP258" s="51">
        <f>ROUND(L258*K258,2)</f>
        <v>0</v>
      </c>
      <c r="BQ258" s="8" t="s">
        <v>156</v>
      </c>
      <c r="BR258" s="8" t="s">
        <v>335</v>
      </c>
    </row>
    <row r="259" spans="2:70" s="16" customFormat="1" ht="25.5" customHeight="1">
      <c r="B259" s="17"/>
      <c r="C259" s="87">
        <f t="shared" si="35"/>
        <v>108</v>
      </c>
      <c r="D259" s="87" t="s">
        <v>116</v>
      </c>
      <c r="E259" s="88" t="s">
        <v>336</v>
      </c>
      <c r="F259" s="192" t="s">
        <v>337</v>
      </c>
      <c r="G259" s="192"/>
      <c r="H259" s="192"/>
      <c r="I259" s="192"/>
      <c r="J259" s="89" t="s">
        <v>261</v>
      </c>
      <c r="K259" s="3"/>
      <c r="L259" s="193"/>
      <c r="M259" s="194"/>
      <c r="N259" s="195">
        <f>ROUND(L259*K259,2)</f>
        <v>0</v>
      </c>
      <c r="O259" s="195"/>
      <c r="P259" s="195"/>
      <c r="Q259" s="195"/>
      <c r="R259" s="19"/>
      <c r="S259" s="111"/>
      <c r="T259" s="111"/>
      <c r="U259" s="111"/>
      <c r="V259" s="111"/>
      <c r="W259" s="111"/>
      <c r="X259" s="111"/>
      <c r="Y259" s="111"/>
      <c r="Z259" s="111"/>
      <c r="AA259" s="111"/>
      <c r="AB259" s="111"/>
      <c r="AC259" s="111"/>
      <c r="AD259" s="111"/>
      <c r="AE259" s="111"/>
      <c r="AF259" s="111"/>
      <c r="AG259" s="111"/>
      <c r="AH259" s="111"/>
      <c r="AI259" s="111"/>
      <c r="AJ259" s="111"/>
      <c r="AK259" s="111"/>
      <c r="AL259" s="111"/>
      <c r="AM259" s="111"/>
      <c r="AN259" s="111"/>
      <c r="AO259" s="111"/>
      <c r="AP259" s="111"/>
      <c r="AQ259" s="111"/>
      <c r="AR259" s="111"/>
      <c r="AS259" s="111"/>
      <c r="AW259" s="8" t="s">
        <v>156</v>
      </c>
      <c r="AY259" s="8" t="s">
        <v>116</v>
      </c>
      <c r="AZ259" s="8" t="s">
        <v>67</v>
      </c>
      <c r="BD259" s="8" t="s">
        <v>115</v>
      </c>
      <c r="BJ259" s="51" t="e">
        <f>IF(#REF!="základní",N259,0)</f>
        <v>#REF!</v>
      </c>
      <c r="BK259" s="51" t="e">
        <f>IF(#REF!="snížená",N259,0)</f>
        <v>#REF!</v>
      </c>
      <c r="BL259" s="51" t="e">
        <f>IF(#REF!="zákl. přenesená",N259,0)</f>
        <v>#REF!</v>
      </c>
      <c r="BM259" s="51" t="e">
        <f>IF(#REF!="sníž. přenesená",N259,0)</f>
        <v>#REF!</v>
      </c>
      <c r="BN259" s="51" t="e">
        <f>IF(#REF!="nulová",N259,0)</f>
        <v>#REF!</v>
      </c>
      <c r="BO259" s="8" t="s">
        <v>56</v>
      </c>
      <c r="BP259" s="51">
        <f>ROUND(L259*K259,2)</f>
        <v>0</v>
      </c>
      <c r="BQ259" s="8" t="s">
        <v>156</v>
      </c>
      <c r="BR259" s="8" t="s">
        <v>338</v>
      </c>
    </row>
    <row r="260" spans="2:70" s="77" customFormat="1" ht="19.95" customHeight="1">
      <c r="B260" s="76"/>
      <c r="D260" s="86" t="s">
        <v>530</v>
      </c>
      <c r="E260" s="86"/>
      <c r="F260" s="86"/>
      <c r="G260" s="86"/>
      <c r="H260" s="86"/>
      <c r="I260" s="86"/>
      <c r="J260" s="86"/>
      <c r="K260" s="86"/>
      <c r="L260" s="86"/>
      <c r="M260" s="86"/>
      <c r="N260" s="200">
        <f>+N216+N132</f>
        <v>0</v>
      </c>
      <c r="O260" s="201"/>
      <c r="P260" s="201"/>
      <c r="Q260" s="201"/>
      <c r="R260" s="79"/>
      <c r="S260" s="111"/>
      <c r="T260" s="111"/>
      <c r="U260" s="111"/>
      <c r="V260" s="111"/>
      <c r="W260" s="111"/>
      <c r="X260" s="111"/>
      <c r="Y260" s="111"/>
      <c r="Z260" s="111"/>
      <c r="AA260" s="111"/>
      <c r="AB260" s="111"/>
      <c r="AC260" s="111"/>
      <c r="AD260" s="111"/>
      <c r="AE260" s="111"/>
      <c r="AF260" s="111"/>
      <c r="AG260" s="111"/>
      <c r="AH260" s="111"/>
      <c r="AI260" s="111"/>
      <c r="AJ260" s="111"/>
      <c r="AK260" s="111"/>
      <c r="AL260" s="111"/>
      <c r="AM260" s="111"/>
      <c r="AN260" s="111"/>
      <c r="AO260" s="111"/>
      <c r="AP260" s="111"/>
      <c r="AQ260" s="111"/>
      <c r="AR260" s="111"/>
      <c r="AS260" s="111"/>
      <c r="AW260" s="83" t="s">
        <v>67</v>
      </c>
      <c r="AY260" s="84" t="s">
        <v>53</v>
      </c>
      <c r="AZ260" s="84" t="s">
        <v>56</v>
      </c>
      <c r="BD260" s="83" t="s">
        <v>115</v>
      </c>
      <c r="BP260" s="56">
        <f>SUM(BP261:BP269)</f>
        <v>0</v>
      </c>
    </row>
    <row r="261" spans="2:70" s="77" customFormat="1" ht="37.35" customHeight="1">
      <c r="B261" s="76"/>
      <c r="D261" s="78" t="s">
        <v>96</v>
      </c>
      <c r="E261" s="78"/>
      <c r="F261" s="78"/>
      <c r="G261" s="78"/>
      <c r="H261" s="78"/>
      <c r="I261" s="78"/>
      <c r="J261" s="78"/>
      <c r="K261" s="78"/>
      <c r="L261" s="78"/>
      <c r="M261" s="78"/>
      <c r="N261" s="196">
        <f>+N262+N264+N266+N268</f>
        <v>0</v>
      </c>
      <c r="O261" s="197"/>
      <c r="P261" s="197"/>
      <c r="Q261" s="197"/>
      <c r="R261" s="79"/>
      <c r="AU261" s="83" t="s">
        <v>127</v>
      </c>
      <c r="AW261" s="84" t="s">
        <v>53</v>
      </c>
      <c r="AX261" s="84" t="s">
        <v>54</v>
      </c>
      <c r="BB261" s="83" t="s">
        <v>115</v>
      </c>
      <c r="BN261" s="56">
        <f>BN262+BN264+BN266+BN268</f>
        <v>0</v>
      </c>
    </row>
    <row r="262" spans="2:70" s="77" customFormat="1" ht="19.95" customHeight="1">
      <c r="B262" s="76"/>
      <c r="D262" s="86" t="s">
        <v>97</v>
      </c>
      <c r="E262" s="86"/>
      <c r="F262" s="86"/>
      <c r="G262" s="86"/>
      <c r="H262" s="86"/>
      <c r="I262" s="86"/>
      <c r="J262" s="86"/>
      <c r="K262" s="86"/>
      <c r="L262" s="86"/>
      <c r="M262" s="86"/>
      <c r="N262" s="200">
        <f>+N263</f>
        <v>0</v>
      </c>
      <c r="O262" s="201"/>
      <c r="P262" s="201"/>
      <c r="Q262" s="201"/>
      <c r="R262" s="79"/>
      <c r="AU262" s="83" t="s">
        <v>127</v>
      </c>
      <c r="AW262" s="84" t="s">
        <v>53</v>
      </c>
      <c r="AX262" s="84" t="s">
        <v>56</v>
      </c>
      <c r="BB262" s="83" t="s">
        <v>115</v>
      </c>
      <c r="BN262" s="56">
        <f>BN263</f>
        <v>0</v>
      </c>
    </row>
    <row r="263" spans="2:70" s="16" customFormat="1" ht="16.5" customHeight="1">
      <c r="B263" s="17"/>
      <c r="C263" s="87">
        <f>+C259+1</f>
        <v>109</v>
      </c>
      <c r="D263" s="87" t="s">
        <v>116</v>
      </c>
      <c r="E263" s="88" t="s">
        <v>339</v>
      </c>
      <c r="F263" s="192" t="s">
        <v>340</v>
      </c>
      <c r="G263" s="192"/>
      <c r="H263" s="192"/>
      <c r="I263" s="192"/>
      <c r="J263" s="89" t="s">
        <v>261</v>
      </c>
      <c r="K263" s="3"/>
      <c r="L263" s="195">
        <f>+N260</f>
        <v>0</v>
      </c>
      <c r="M263" s="195"/>
      <c r="N263" s="195">
        <f>ROUND(L263*K263/100,2)</f>
        <v>0</v>
      </c>
      <c r="O263" s="195"/>
      <c r="P263" s="195"/>
      <c r="Q263" s="195"/>
      <c r="R263" s="19"/>
      <c r="AU263" s="8" t="s">
        <v>341</v>
      </c>
      <c r="AW263" s="8" t="s">
        <v>116</v>
      </c>
      <c r="AX263" s="8" t="s">
        <v>67</v>
      </c>
      <c r="BB263" s="8" t="s">
        <v>115</v>
      </c>
      <c r="BH263" s="51" t="e">
        <f>IF(#REF!="základní",N263,0)</f>
        <v>#REF!</v>
      </c>
      <c r="BI263" s="51" t="e">
        <f>IF(#REF!="snížená",N263,0)</f>
        <v>#REF!</v>
      </c>
      <c r="BJ263" s="51" t="e">
        <f>IF(#REF!="zákl. přenesená",N263,0)</f>
        <v>#REF!</v>
      </c>
      <c r="BK263" s="51" t="e">
        <f>IF(#REF!="sníž. přenesená",N263,0)</f>
        <v>#REF!</v>
      </c>
      <c r="BL263" s="51" t="e">
        <f>IF(#REF!="nulová",N263,0)</f>
        <v>#REF!</v>
      </c>
      <c r="BM263" s="8" t="s">
        <v>56</v>
      </c>
      <c r="BN263" s="51">
        <f>ROUND(L263*K263,2)</f>
        <v>0</v>
      </c>
      <c r="BO263" s="8" t="s">
        <v>341</v>
      </c>
      <c r="BP263" s="8" t="s">
        <v>342</v>
      </c>
    </row>
    <row r="264" spans="2:70" s="77" customFormat="1" ht="29.85" customHeight="1">
      <c r="B264" s="76"/>
      <c r="D264" s="86" t="s">
        <v>98</v>
      </c>
      <c r="E264" s="86"/>
      <c r="F264" s="86"/>
      <c r="G264" s="86"/>
      <c r="H264" s="86"/>
      <c r="I264" s="86"/>
      <c r="J264" s="86"/>
      <c r="K264" s="86"/>
      <c r="L264" s="86"/>
      <c r="M264" s="86"/>
      <c r="N264" s="202">
        <f>+N265</f>
        <v>0</v>
      </c>
      <c r="O264" s="203"/>
      <c r="P264" s="203"/>
      <c r="Q264" s="203"/>
      <c r="R264" s="79"/>
      <c r="AU264" s="83" t="s">
        <v>127</v>
      </c>
      <c r="AW264" s="84" t="s">
        <v>53</v>
      </c>
      <c r="AX264" s="84" t="s">
        <v>56</v>
      </c>
      <c r="BB264" s="83" t="s">
        <v>115</v>
      </c>
      <c r="BN264" s="56">
        <f>BN265</f>
        <v>0</v>
      </c>
    </row>
    <row r="265" spans="2:70" s="16" customFormat="1" ht="16.5" customHeight="1">
      <c r="B265" s="17"/>
      <c r="C265" s="87">
        <f>+C263+1</f>
        <v>110</v>
      </c>
      <c r="D265" s="87" t="s">
        <v>116</v>
      </c>
      <c r="E265" s="88" t="s">
        <v>343</v>
      </c>
      <c r="F265" s="192" t="s">
        <v>344</v>
      </c>
      <c r="G265" s="192"/>
      <c r="H265" s="192"/>
      <c r="I265" s="192"/>
      <c r="J265" s="89" t="s">
        <v>261</v>
      </c>
      <c r="K265" s="3"/>
      <c r="L265" s="195">
        <f>+N260</f>
        <v>0</v>
      </c>
      <c r="M265" s="195"/>
      <c r="N265" s="195">
        <f>ROUND(L265*K265/100,2)</f>
        <v>0</v>
      </c>
      <c r="O265" s="195"/>
      <c r="P265" s="195"/>
      <c r="Q265" s="195"/>
      <c r="R265" s="19"/>
      <c r="AU265" s="8" t="s">
        <v>341</v>
      </c>
      <c r="AW265" s="8" t="s">
        <v>116</v>
      </c>
      <c r="AX265" s="8" t="s">
        <v>67</v>
      </c>
      <c r="BB265" s="8" t="s">
        <v>115</v>
      </c>
      <c r="BH265" s="51" t="e">
        <f>IF(#REF!="základní",N265,0)</f>
        <v>#REF!</v>
      </c>
      <c r="BI265" s="51" t="e">
        <f>IF(#REF!="snížená",N265,0)</f>
        <v>#REF!</v>
      </c>
      <c r="BJ265" s="51" t="e">
        <f>IF(#REF!="zákl. přenesená",N265,0)</f>
        <v>#REF!</v>
      </c>
      <c r="BK265" s="51" t="e">
        <f>IF(#REF!="sníž. přenesená",N265,0)</f>
        <v>#REF!</v>
      </c>
      <c r="BL265" s="51" t="e">
        <f>IF(#REF!="nulová",N265,0)</f>
        <v>#REF!</v>
      </c>
      <c r="BM265" s="8" t="s">
        <v>56</v>
      </c>
      <c r="BN265" s="51">
        <f>ROUND(L265*K265,2)</f>
        <v>0</v>
      </c>
      <c r="BO265" s="8" t="s">
        <v>341</v>
      </c>
      <c r="BP265" s="8" t="s">
        <v>345</v>
      </c>
    </row>
    <row r="266" spans="2:70" s="77" customFormat="1" ht="29.85" customHeight="1">
      <c r="B266" s="76"/>
      <c r="D266" s="86" t="s">
        <v>99</v>
      </c>
      <c r="E266" s="86"/>
      <c r="F266" s="86"/>
      <c r="G266" s="86"/>
      <c r="H266" s="86"/>
      <c r="I266" s="86"/>
      <c r="J266" s="86"/>
      <c r="K266" s="86"/>
      <c r="L266" s="86"/>
      <c r="M266" s="86"/>
      <c r="N266" s="202">
        <f>+N267</f>
        <v>0</v>
      </c>
      <c r="O266" s="203"/>
      <c r="P266" s="203"/>
      <c r="Q266" s="203"/>
      <c r="R266" s="79"/>
      <c r="AU266" s="83" t="s">
        <v>127</v>
      </c>
      <c r="AW266" s="84" t="s">
        <v>53</v>
      </c>
      <c r="AX266" s="84" t="s">
        <v>56</v>
      </c>
      <c r="BB266" s="83" t="s">
        <v>115</v>
      </c>
      <c r="BN266" s="56">
        <f>BN267</f>
        <v>0</v>
      </c>
    </row>
    <row r="267" spans="2:70" s="16" customFormat="1" ht="16.5" customHeight="1">
      <c r="B267" s="17"/>
      <c r="C267" s="87">
        <f>+C265+1</f>
        <v>111</v>
      </c>
      <c r="D267" s="87" t="s">
        <v>116</v>
      </c>
      <c r="E267" s="88" t="s">
        <v>346</v>
      </c>
      <c r="F267" s="192" t="s">
        <v>347</v>
      </c>
      <c r="G267" s="192"/>
      <c r="H267" s="192"/>
      <c r="I267" s="192"/>
      <c r="J267" s="89" t="s">
        <v>261</v>
      </c>
      <c r="K267" s="3"/>
      <c r="L267" s="195">
        <f>+N260</f>
        <v>0</v>
      </c>
      <c r="M267" s="195"/>
      <c r="N267" s="195">
        <f>ROUND(L267*K267/100,2)</f>
        <v>0</v>
      </c>
      <c r="O267" s="195"/>
      <c r="P267" s="195"/>
      <c r="Q267" s="195"/>
      <c r="R267" s="19"/>
      <c r="AU267" s="8" t="s">
        <v>341</v>
      </c>
      <c r="AW267" s="8" t="s">
        <v>116</v>
      </c>
      <c r="AX267" s="8" t="s">
        <v>67</v>
      </c>
      <c r="BB267" s="8" t="s">
        <v>115</v>
      </c>
      <c r="BH267" s="51" t="e">
        <f>IF(#REF!="základní",N267,0)</f>
        <v>#REF!</v>
      </c>
      <c r="BI267" s="51" t="e">
        <f>IF(#REF!="snížená",N267,0)</f>
        <v>#REF!</v>
      </c>
      <c r="BJ267" s="51" t="e">
        <f>IF(#REF!="zákl. přenesená",N267,0)</f>
        <v>#REF!</v>
      </c>
      <c r="BK267" s="51" t="e">
        <f>IF(#REF!="sníž. přenesená",N267,0)</f>
        <v>#REF!</v>
      </c>
      <c r="BL267" s="51" t="e">
        <f>IF(#REF!="nulová",N267,0)</f>
        <v>#REF!</v>
      </c>
      <c r="BM267" s="8" t="s">
        <v>56</v>
      </c>
      <c r="BN267" s="51">
        <f>ROUND(L267*K267,2)</f>
        <v>0</v>
      </c>
      <c r="BO267" s="8" t="s">
        <v>341</v>
      </c>
      <c r="BP267" s="8" t="s">
        <v>348</v>
      </c>
    </row>
    <row r="268" spans="2:70" s="77" customFormat="1" ht="29.85" customHeight="1">
      <c r="B268" s="76"/>
      <c r="D268" s="86" t="s">
        <v>100</v>
      </c>
      <c r="E268" s="86"/>
      <c r="F268" s="86"/>
      <c r="G268" s="86"/>
      <c r="H268" s="86"/>
      <c r="I268" s="86"/>
      <c r="J268" s="86"/>
      <c r="K268" s="86"/>
      <c r="L268" s="86"/>
      <c r="M268" s="86"/>
      <c r="N268" s="202">
        <f>+N269</f>
        <v>0</v>
      </c>
      <c r="O268" s="203"/>
      <c r="P268" s="203"/>
      <c r="Q268" s="203"/>
      <c r="R268" s="79"/>
      <c r="AU268" s="83" t="s">
        <v>127</v>
      </c>
      <c r="AW268" s="84" t="s">
        <v>53</v>
      </c>
      <c r="AX268" s="84" t="s">
        <v>56</v>
      </c>
      <c r="BB268" s="83" t="s">
        <v>115</v>
      </c>
      <c r="BN268" s="56">
        <f>BN269</f>
        <v>0</v>
      </c>
    </row>
    <row r="269" spans="2:70" s="16" customFormat="1" ht="16.5" customHeight="1">
      <c r="B269" s="17"/>
      <c r="C269" s="87">
        <f>+C267+1</f>
        <v>112</v>
      </c>
      <c r="D269" s="87" t="s">
        <v>116</v>
      </c>
      <c r="E269" s="88" t="s">
        <v>349</v>
      </c>
      <c r="F269" s="192" t="s">
        <v>350</v>
      </c>
      <c r="G269" s="192"/>
      <c r="H269" s="192"/>
      <c r="I269" s="192"/>
      <c r="J269" s="89" t="s">
        <v>261</v>
      </c>
      <c r="K269" s="3"/>
      <c r="L269" s="195">
        <f>+N260</f>
        <v>0</v>
      </c>
      <c r="M269" s="195"/>
      <c r="N269" s="195">
        <f>ROUND(L269*K269/100,2)</f>
        <v>0</v>
      </c>
      <c r="O269" s="195"/>
      <c r="P269" s="195"/>
      <c r="Q269" s="195"/>
      <c r="R269" s="19"/>
      <c r="AU269" s="8" t="s">
        <v>341</v>
      </c>
      <c r="AW269" s="8" t="s">
        <v>116</v>
      </c>
      <c r="AX269" s="8" t="s">
        <v>67</v>
      </c>
      <c r="BB269" s="8" t="s">
        <v>115</v>
      </c>
      <c r="BH269" s="51" t="e">
        <f>IF(#REF!="základní",N269,0)</f>
        <v>#REF!</v>
      </c>
      <c r="BI269" s="51" t="e">
        <f>IF(#REF!="snížená",N269,0)</f>
        <v>#REF!</v>
      </c>
      <c r="BJ269" s="51" t="e">
        <f>IF(#REF!="zákl. přenesená",N269,0)</f>
        <v>#REF!</v>
      </c>
      <c r="BK269" s="51" t="e">
        <f>IF(#REF!="sníž. přenesená",N269,0)</f>
        <v>#REF!</v>
      </c>
      <c r="BL269" s="51" t="e">
        <f>IF(#REF!="nulová",N269,0)</f>
        <v>#REF!</v>
      </c>
      <c r="BM269" s="8" t="s">
        <v>56</v>
      </c>
      <c r="BN269" s="51">
        <f>ROUND(L269*K269,2)</f>
        <v>0</v>
      </c>
      <c r="BO269" s="8" t="s">
        <v>341</v>
      </c>
      <c r="BP269" s="8" t="s">
        <v>351</v>
      </c>
    </row>
    <row r="270" spans="2:70" s="16" customFormat="1" ht="6.9" customHeight="1">
      <c r="B270" s="42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4"/>
      <c r="S270" s="111"/>
      <c r="T270" s="111"/>
      <c r="U270" s="111"/>
      <c r="V270" s="111"/>
      <c r="W270" s="111"/>
      <c r="X270" s="111"/>
      <c r="Y270" s="111"/>
      <c r="Z270" s="111"/>
      <c r="AA270" s="111"/>
      <c r="AB270" s="111"/>
      <c r="AC270" s="111"/>
      <c r="AD270" s="111"/>
      <c r="AE270" s="111"/>
      <c r="AF270" s="111"/>
      <c r="AG270" s="111"/>
      <c r="AH270" s="111"/>
      <c r="AI270" s="111"/>
      <c r="AJ270" s="111"/>
      <c r="AK270" s="111"/>
      <c r="AL270" s="111"/>
      <c r="AM270" s="111"/>
      <c r="AN270" s="111"/>
      <c r="AO270" s="111"/>
      <c r="AP270" s="111"/>
      <c r="AQ270" s="111"/>
      <c r="AR270" s="111"/>
      <c r="AS270" s="111"/>
    </row>
  </sheetData>
  <sheetProtection algorithmName="SHA-512" hashValue="ipBP2LMaPtkm6IXsg/WqEJMWGSXf43m1qgFssfj7MiF9QRiF+aUqd0sKilsRls6wRbb81DeuxhSqbh33NktdyQ==" saltValue="W3J5pDOFPp71o28+O6UAFg==" spinCount="100000" sheet="1" objects="1" scenarios="1" selectLockedCells="1"/>
  <mergeCells count="442">
    <mergeCell ref="F194:I194"/>
    <mergeCell ref="L194:M194"/>
    <mergeCell ref="N194:Q194"/>
    <mergeCell ref="C2:Q2"/>
    <mergeCell ref="C4:Q4"/>
    <mergeCell ref="F6:P6"/>
    <mergeCell ref="F7:P7"/>
    <mergeCell ref="O11:P11"/>
    <mergeCell ref="O12:P12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8:P78"/>
    <mergeCell ref="N91:Q91"/>
    <mergeCell ref="N92:Q92"/>
    <mergeCell ref="N93:Q93"/>
    <mergeCell ref="N94:Q94"/>
    <mergeCell ref="N95:Q95"/>
    <mergeCell ref="N96:Q96"/>
    <mergeCell ref="N97:Q97"/>
    <mergeCell ref="N98:Q98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9:Q99"/>
    <mergeCell ref="N100:Q100"/>
    <mergeCell ref="N101:Q101"/>
    <mergeCell ref="N102:Q102"/>
    <mergeCell ref="N103:Q103"/>
    <mergeCell ref="N104:Q104"/>
    <mergeCell ref="N105:Q105"/>
    <mergeCell ref="N106:Q106"/>
    <mergeCell ref="N107:Q107"/>
    <mergeCell ref="N108:Q108"/>
    <mergeCell ref="N109:Q109"/>
    <mergeCell ref="N110:Q110"/>
    <mergeCell ref="N112:Q112"/>
    <mergeCell ref="L114:Q114"/>
    <mergeCell ref="C120:Q120"/>
    <mergeCell ref="F122:P122"/>
    <mergeCell ref="F123:P123"/>
    <mergeCell ref="F135:I135"/>
    <mergeCell ref="L135:M135"/>
    <mergeCell ref="N135:Q135"/>
    <mergeCell ref="F136:I136"/>
    <mergeCell ref="L136:M136"/>
    <mergeCell ref="N136:Q136"/>
    <mergeCell ref="M125:P125"/>
    <mergeCell ref="M127:Q127"/>
    <mergeCell ref="M128:Q128"/>
    <mergeCell ref="F130:I130"/>
    <mergeCell ref="L130:M130"/>
    <mergeCell ref="N130:Q130"/>
    <mergeCell ref="F134:I134"/>
    <mergeCell ref="L134:M134"/>
    <mergeCell ref="N134:Q134"/>
    <mergeCell ref="F137:I137"/>
    <mergeCell ref="L137:M137"/>
    <mergeCell ref="N137:Q137"/>
    <mergeCell ref="F138:I138"/>
    <mergeCell ref="L138:M138"/>
    <mergeCell ref="N138:Q138"/>
    <mergeCell ref="F139:I139"/>
    <mergeCell ref="L139:M139"/>
    <mergeCell ref="N139:Q139"/>
    <mergeCell ref="F165:I165"/>
    <mergeCell ref="L165:M165"/>
    <mergeCell ref="N165:Q165"/>
    <mergeCell ref="L150:M150"/>
    <mergeCell ref="N150:Q150"/>
    <mergeCell ref="F141:I141"/>
    <mergeCell ref="L141:M141"/>
    <mergeCell ref="N141:Q141"/>
    <mergeCell ref="F143:I143"/>
    <mergeCell ref="L143:M143"/>
    <mergeCell ref="N143:Q143"/>
    <mergeCell ref="F144:I144"/>
    <mergeCell ref="L144:M144"/>
    <mergeCell ref="N144:Q144"/>
    <mergeCell ref="F146:I146"/>
    <mergeCell ref="L146:M146"/>
    <mergeCell ref="N146:Q146"/>
    <mergeCell ref="F155:I155"/>
    <mergeCell ref="L155:M155"/>
    <mergeCell ref="F156:I156"/>
    <mergeCell ref="L156:M156"/>
    <mergeCell ref="F157:I157"/>
    <mergeCell ref="L157:M157"/>
    <mergeCell ref="F158:I158"/>
    <mergeCell ref="F166:I166"/>
    <mergeCell ref="L166:M166"/>
    <mergeCell ref="N166:Q166"/>
    <mergeCell ref="F167:I167"/>
    <mergeCell ref="L167:M167"/>
    <mergeCell ref="N167:Q167"/>
    <mergeCell ref="F168:I168"/>
    <mergeCell ref="L168:M168"/>
    <mergeCell ref="N168:Q168"/>
    <mergeCell ref="F174:I174"/>
    <mergeCell ref="L174:M174"/>
    <mergeCell ref="N174:Q174"/>
    <mergeCell ref="F175:I175"/>
    <mergeCell ref="L175:M175"/>
    <mergeCell ref="N175:Q175"/>
    <mergeCell ref="F176:I176"/>
    <mergeCell ref="L176:M176"/>
    <mergeCell ref="N176:Q176"/>
    <mergeCell ref="F177:I177"/>
    <mergeCell ref="L177:M177"/>
    <mergeCell ref="N177:Q177"/>
    <mergeCell ref="F178:I178"/>
    <mergeCell ref="L178:M178"/>
    <mergeCell ref="N178:Q178"/>
    <mergeCell ref="F179:I179"/>
    <mergeCell ref="L179:M179"/>
    <mergeCell ref="N179:Q179"/>
    <mergeCell ref="F180:I180"/>
    <mergeCell ref="L180:M180"/>
    <mergeCell ref="N180:Q180"/>
    <mergeCell ref="F181:I181"/>
    <mergeCell ref="L181:M181"/>
    <mergeCell ref="N181:Q181"/>
    <mergeCell ref="F182:I182"/>
    <mergeCell ref="L182:M182"/>
    <mergeCell ref="N182:Q182"/>
    <mergeCell ref="F183:I183"/>
    <mergeCell ref="L183:M183"/>
    <mergeCell ref="N183:Q183"/>
    <mergeCell ref="F184:I184"/>
    <mergeCell ref="L184:M184"/>
    <mergeCell ref="N184:Q184"/>
    <mergeCell ref="F185:I185"/>
    <mergeCell ref="L185:M185"/>
    <mergeCell ref="N185:Q185"/>
    <mergeCell ref="F189:I189"/>
    <mergeCell ref="L189:M189"/>
    <mergeCell ref="N189:Q189"/>
    <mergeCell ref="F192:I192"/>
    <mergeCell ref="L192:M192"/>
    <mergeCell ref="N192:Q192"/>
    <mergeCell ref="F190:I190"/>
    <mergeCell ref="L190:M190"/>
    <mergeCell ref="N190:Q190"/>
    <mergeCell ref="F191:I191"/>
    <mergeCell ref="L191:M191"/>
    <mergeCell ref="F186:I186"/>
    <mergeCell ref="L186:M186"/>
    <mergeCell ref="N186:Q186"/>
    <mergeCell ref="F187:I187"/>
    <mergeCell ref="L187:M187"/>
    <mergeCell ref="N187:Q187"/>
    <mergeCell ref="F188:I188"/>
    <mergeCell ref="L188:M188"/>
    <mergeCell ref="N188:Q188"/>
    <mergeCell ref="L199:M199"/>
    <mergeCell ref="N199:Q199"/>
    <mergeCell ref="F200:I200"/>
    <mergeCell ref="L200:M200"/>
    <mergeCell ref="N200:Q200"/>
    <mergeCell ref="F196:I196"/>
    <mergeCell ref="L196:M196"/>
    <mergeCell ref="N196:Q196"/>
    <mergeCell ref="F197:I197"/>
    <mergeCell ref="L197:M197"/>
    <mergeCell ref="N197:Q197"/>
    <mergeCell ref="F198:I198"/>
    <mergeCell ref="L198:M198"/>
    <mergeCell ref="F199:I199"/>
    <mergeCell ref="F215:I215"/>
    <mergeCell ref="L215:M215"/>
    <mergeCell ref="N215:Q215"/>
    <mergeCell ref="F218:I218"/>
    <mergeCell ref="L218:M218"/>
    <mergeCell ref="N218:Q218"/>
    <mergeCell ref="F207:I207"/>
    <mergeCell ref="L207:M207"/>
    <mergeCell ref="N207:Q207"/>
    <mergeCell ref="F209:I209"/>
    <mergeCell ref="L209:M209"/>
    <mergeCell ref="N209:Q209"/>
    <mergeCell ref="F210:I210"/>
    <mergeCell ref="L210:M210"/>
    <mergeCell ref="N210:Q210"/>
    <mergeCell ref="F211:I211"/>
    <mergeCell ref="L211:M211"/>
    <mergeCell ref="F212:I212"/>
    <mergeCell ref="L212:M212"/>
    <mergeCell ref="N212:Q212"/>
    <mergeCell ref="F219:I219"/>
    <mergeCell ref="L219:M219"/>
    <mergeCell ref="N219:Q219"/>
    <mergeCell ref="F220:I220"/>
    <mergeCell ref="L220:M220"/>
    <mergeCell ref="N220:Q220"/>
    <mergeCell ref="F222:I222"/>
    <mergeCell ref="L222:M222"/>
    <mergeCell ref="N222:Q222"/>
    <mergeCell ref="F223:I223"/>
    <mergeCell ref="L223:M223"/>
    <mergeCell ref="N223:Q223"/>
    <mergeCell ref="F224:I224"/>
    <mergeCell ref="L224:M224"/>
    <mergeCell ref="N224:Q224"/>
    <mergeCell ref="F225:I225"/>
    <mergeCell ref="L225:M225"/>
    <mergeCell ref="N225:Q225"/>
    <mergeCell ref="F226:I226"/>
    <mergeCell ref="L226:M226"/>
    <mergeCell ref="N226:Q226"/>
    <mergeCell ref="F227:I227"/>
    <mergeCell ref="L227:M227"/>
    <mergeCell ref="N227:Q227"/>
    <mergeCell ref="F228:I228"/>
    <mergeCell ref="L228:M228"/>
    <mergeCell ref="N228:Q228"/>
    <mergeCell ref="F230:I230"/>
    <mergeCell ref="L230:M230"/>
    <mergeCell ref="N230:Q230"/>
    <mergeCell ref="F231:I231"/>
    <mergeCell ref="L231:M231"/>
    <mergeCell ref="N231:Q231"/>
    <mergeCell ref="F232:I232"/>
    <mergeCell ref="L232:M232"/>
    <mergeCell ref="N232:Q232"/>
    <mergeCell ref="F233:I233"/>
    <mergeCell ref="L233:M233"/>
    <mergeCell ref="N233:Q233"/>
    <mergeCell ref="F234:I234"/>
    <mergeCell ref="L234:M234"/>
    <mergeCell ref="N234:Q234"/>
    <mergeCell ref="F235:I235"/>
    <mergeCell ref="L235:M235"/>
    <mergeCell ref="N235:Q235"/>
    <mergeCell ref="F236:I236"/>
    <mergeCell ref="L236:M236"/>
    <mergeCell ref="N236:Q236"/>
    <mergeCell ref="F237:I237"/>
    <mergeCell ref="L237:M237"/>
    <mergeCell ref="N237:Q237"/>
    <mergeCell ref="F238:I238"/>
    <mergeCell ref="L238:M238"/>
    <mergeCell ref="N238:Q238"/>
    <mergeCell ref="F239:I239"/>
    <mergeCell ref="L239:M239"/>
    <mergeCell ref="N239:Q239"/>
    <mergeCell ref="F240:I240"/>
    <mergeCell ref="L240:M240"/>
    <mergeCell ref="N240:Q240"/>
    <mergeCell ref="F241:I241"/>
    <mergeCell ref="L241:M241"/>
    <mergeCell ref="N241:Q241"/>
    <mergeCell ref="F242:I242"/>
    <mergeCell ref="L242:M242"/>
    <mergeCell ref="N242:Q242"/>
    <mergeCell ref="F246:I246"/>
    <mergeCell ref="L246:M246"/>
    <mergeCell ref="N246:Q246"/>
    <mergeCell ref="F247:I247"/>
    <mergeCell ref="L247:M247"/>
    <mergeCell ref="N247:Q247"/>
    <mergeCell ref="F244:I244"/>
    <mergeCell ref="L244:M244"/>
    <mergeCell ref="N244:Q244"/>
    <mergeCell ref="F245:I245"/>
    <mergeCell ref="L245:M245"/>
    <mergeCell ref="N245:Q245"/>
    <mergeCell ref="L251:M251"/>
    <mergeCell ref="N251:Q251"/>
    <mergeCell ref="F249:I249"/>
    <mergeCell ref="L249:M249"/>
    <mergeCell ref="N249:Q249"/>
    <mergeCell ref="N243:Q243"/>
    <mergeCell ref="N248:Q248"/>
    <mergeCell ref="F259:I259"/>
    <mergeCell ref="L259:M259"/>
    <mergeCell ref="N259:Q259"/>
    <mergeCell ref="F253:I253"/>
    <mergeCell ref="L253:M253"/>
    <mergeCell ref="N253:Q253"/>
    <mergeCell ref="F255:I255"/>
    <mergeCell ref="L255:M255"/>
    <mergeCell ref="N255:Q255"/>
    <mergeCell ref="F256:I256"/>
    <mergeCell ref="L256:M256"/>
    <mergeCell ref="N256:Q256"/>
    <mergeCell ref="N254:Q254"/>
    <mergeCell ref="F250:I250"/>
    <mergeCell ref="L250:M250"/>
    <mergeCell ref="N250:Q250"/>
    <mergeCell ref="N142:Q142"/>
    <mergeCell ref="N147:Q147"/>
    <mergeCell ref="N149:Q149"/>
    <mergeCell ref="N162:Q162"/>
    <mergeCell ref="N195:Q195"/>
    <mergeCell ref="N208:Q208"/>
    <mergeCell ref="N214:Q214"/>
    <mergeCell ref="N216:Q216"/>
    <mergeCell ref="N204:Q204"/>
    <mergeCell ref="N205:Q205"/>
    <mergeCell ref="N206:Q206"/>
    <mergeCell ref="N201:Q201"/>
    <mergeCell ref="N202:Q202"/>
    <mergeCell ref="N203:Q203"/>
    <mergeCell ref="N198:Q198"/>
    <mergeCell ref="N170:Q170"/>
    <mergeCell ref="N171:Q171"/>
    <mergeCell ref="N163:Q163"/>
    <mergeCell ref="N155:Q155"/>
    <mergeCell ref="N156:Q156"/>
    <mergeCell ref="N157:Q157"/>
    <mergeCell ref="N191:Q191"/>
    <mergeCell ref="N211:Q211"/>
    <mergeCell ref="H1:K1"/>
    <mergeCell ref="F154:I154"/>
    <mergeCell ref="L154:M154"/>
    <mergeCell ref="N154:Q154"/>
    <mergeCell ref="F151:I151"/>
    <mergeCell ref="L151:M151"/>
    <mergeCell ref="N151:Q151"/>
    <mergeCell ref="F152:I152"/>
    <mergeCell ref="L152:M152"/>
    <mergeCell ref="N152:Q152"/>
    <mergeCell ref="F153:I153"/>
    <mergeCell ref="L153:M153"/>
    <mergeCell ref="N153:Q153"/>
    <mergeCell ref="F145:I145"/>
    <mergeCell ref="L145:M145"/>
    <mergeCell ref="N145:Q145"/>
    <mergeCell ref="F148:I148"/>
    <mergeCell ref="L148:M148"/>
    <mergeCell ref="N148:Q148"/>
    <mergeCell ref="F150:I150"/>
    <mergeCell ref="N131:Q131"/>
    <mergeCell ref="N132:Q132"/>
    <mergeCell ref="N133:Q133"/>
    <mergeCell ref="N140:Q140"/>
    <mergeCell ref="L158:M158"/>
    <mergeCell ref="N158:Q158"/>
    <mergeCell ref="F159:I159"/>
    <mergeCell ref="L159:M159"/>
    <mergeCell ref="N159:Q159"/>
    <mergeCell ref="F164:I164"/>
    <mergeCell ref="L164:M164"/>
    <mergeCell ref="N164:Q164"/>
    <mergeCell ref="F161:I161"/>
    <mergeCell ref="L161:M161"/>
    <mergeCell ref="N161:Q161"/>
    <mergeCell ref="F160:I160"/>
    <mergeCell ref="L160:M160"/>
    <mergeCell ref="N160:Q160"/>
    <mergeCell ref="F163:I163"/>
    <mergeCell ref="L163:M163"/>
    <mergeCell ref="F172:I172"/>
    <mergeCell ref="L172:M172"/>
    <mergeCell ref="N172:Q172"/>
    <mergeCell ref="F173:I173"/>
    <mergeCell ref="L173:M173"/>
    <mergeCell ref="N173:Q173"/>
    <mergeCell ref="F170:I170"/>
    <mergeCell ref="L170:M170"/>
    <mergeCell ref="F171:I171"/>
    <mergeCell ref="L171:M171"/>
    <mergeCell ref="F267:I267"/>
    <mergeCell ref="L267:M267"/>
    <mergeCell ref="N267:Q267"/>
    <mergeCell ref="N268:Q268"/>
    <mergeCell ref="F269:I269"/>
    <mergeCell ref="L269:M269"/>
    <mergeCell ref="N269:Q269"/>
    <mergeCell ref="F213:I213"/>
    <mergeCell ref="L213:M213"/>
    <mergeCell ref="N213:Q213"/>
    <mergeCell ref="F252:I252"/>
    <mergeCell ref="L252:M252"/>
    <mergeCell ref="N252:Q252"/>
    <mergeCell ref="F257:I257"/>
    <mergeCell ref="L257:M257"/>
    <mergeCell ref="N257:Q257"/>
    <mergeCell ref="F258:I258"/>
    <mergeCell ref="L258:M258"/>
    <mergeCell ref="N258:Q258"/>
    <mergeCell ref="N217:Q217"/>
    <mergeCell ref="N221:Q221"/>
    <mergeCell ref="N229:Q229"/>
    <mergeCell ref="N260:Q260"/>
    <mergeCell ref="F251:I251"/>
    <mergeCell ref="N262:Q262"/>
    <mergeCell ref="F263:I263"/>
    <mergeCell ref="L263:M263"/>
    <mergeCell ref="N263:Q263"/>
    <mergeCell ref="N264:Q264"/>
    <mergeCell ref="F265:I265"/>
    <mergeCell ref="L265:M265"/>
    <mergeCell ref="N265:Q265"/>
    <mergeCell ref="N266:Q266"/>
    <mergeCell ref="F193:I193"/>
    <mergeCell ref="L193:M193"/>
    <mergeCell ref="N193:Q193"/>
    <mergeCell ref="E15:L15"/>
    <mergeCell ref="E21:L21"/>
    <mergeCell ref="O14:R14"/>
    <mergeCell ref="O15:R15"/>
    <mergeCell ref="O9:R9"/>
    <mergeCell ref="N261:Q261"/>
    <mergeCell ref="F204:I204"/>
    <mergeCell ref="L204:M204"/>
    <mergeCell ref="F205:I205"/>
    <mergeCell ref="L205:M205"/>
    <mergeCell ref="F206:I206"/>
    <mergeCell ref="L206:M206"/>
    <mergeCell ref="F201:I201"/>
    <mergeCell ref="L201:M201"/>
    <mergeCell ref="F202:I202"/>
    <mergeCell ref="L202:M202"/>
    <mergeCell ref="F203:I203"/>
    <mergeCell ref="L203:M203"/>
    <mergeCell ref="F169:I169"/>
    <mergeCell ref="L169:M169"/>
    <mergeCell ref="N169:Q169"/>
  </mergeCells>
  <phoneticPr fontId="0" type="noConversion"/>
  <hyperlinks>
    <hyperlink ref="F1:G1" location="C2" display="1) Krycí list rozpočtu" xr:uid="{00000000-0004-0000-0100-000000000000}"/>
    <hyperlink ref="H1:K1" location="C86" display="2) Rekapitulace rozpočtu" xr:uid="{00000000-0004-0000-0100-000001000000}"/>
    <hyperlink ref="L1" location="C132" display="3) Rozpočet" xr:uid="{00000000-0004-0000-0100-000002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14"/>
  <sheetViews>
    <sheetView showGridLines="0" tabSelected="1" workbookViewId="0">
      <pane ySplit="1" topLeftCell="A199" activePane="bottomLeft" state="frozen"/>
      <selection pane="bottomLeft" activeCell="K213" activeCellId="3" sqref="K207 K209 K211 K213"/>
    </sheetView>
  </sheetViews>
  <sheetFormatPr defaultColWidth="9.28515625" defaultRowHeight="12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7" width="11.140625" customWidth="1"/>
    <col min="8" max="8" width="12.42578125" customWidth="1"/>
    <col min="9" max="9" width="7" customWidth="1"/>
    <col min="10" max="10" width="5.140625" customWidth="1"/>
    <col min="11" max="11" width="11.42578125" customWidth="1"/>
    <col min="12" max="12" width="12" customWidth="1"/>
    <col min="13" max="14" width="6" customWidth="1"/>
    <col min="15" max="15" width="2" customWidth="1"/>
    <col min="16" max="16" width="12.42578125" customWidth="1"/>
    <col min="17" max="17" width="4.140625" customWidth="1"/>
    <col min="18" max="18" width="1.7109375" customWidth="1"/>
  </cols>
  <sheetData>
    <row r="1" spans="1:18" ht="21.75" customHeight="1">
      <c r="A1" s="4"/>
      <c r="B1" s="5"/>
      <c r="C1" s="5"/>
      <c r="D1" s="6" t="s">
        <v>1</v>
      </c>
      <c r="E1" s="5"/>
      <c r="F1" s="1" t="s">
        <v>62</v>
      </c>
      <c r="G1" s="1"/>
      <c r="H1" s="204" t="s">
        <v>63</v>
      </c>
      <c r="I1" s="204"/>
      <c r="J1" s="204"/>
      <c r="K1" s="204"/>
      <c r="L1" s="1" t="s">
        <v>64</v>
      </c>
      <c r="M1" s="5"/>
      <c r="N1" s="5"/>
      <c r="O1" s="6" t="s">
        <v>65</v>
      </c>
      <c r="P1" s="5"/>
      <c r="Q1" s="5"/>
      <c r="R1" s="5"/>
    </row>
    <row r="2" spans="1:18" ht="36.9" customHeight="1">
      <c r="C2" s="160" t="s">
        <v>6</v>
      </c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</row>
    <row r="3" spans="1:18" ht="6.9" customHeight="1"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1"/>
    </row>
    <row r="4" spans="1:18" ht="36.9" customHeight="1">
      <c r="B4" s="13"/>
      <c r="C4" s="162" t="s">
        <v>68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4"/>
    </row>
    <row r="5" spans="1:18" ht="6.9" customHeight="1">
      <c r="B5" s="13"/>
      <c r="R5" s="14"/>
    </row>
    <row r="6" spans="1:18" ht="25.35" customHeight="1">
      <c r="B6" s="13"/>
      <c r="D6" s="15" t="s">
        <v>12</v>
      </c>
      <c r="F6" s="217" t="str">
        <f>'Rekapitulace stavby'!K6</f>
        <v>Revitalizace objektu MŠ-Srdíčko v Praze 12</v>
      </c>
      <c r="G6" s="218"/>
      <c r="H6" s="218"/>
      <c r="I6" s="218"/>
      <c r="J6" s="218"/>
      <c r="K6" s="218"/>
      <c r="L6" s="218"/>
      <c r="M6" s="218"/>
      <c r="N6" s="218"/>
      <c r="O6" s="218"/>
      <c r="P6" s="218"/>
      <c r="R6" s="14"/>
    </row>
    <row r="7" spans="1:18" s="16" customFormat="1" ht="32.85" customHeight="1">
      <c r="B7" s="17"/>
      <c r="D7" s="18" t="s">
        <v>69</v>
      </c>
      <c r="F7" s="165" t="s">
        <v>470</v>
      </c>
      <c r="G7" s="216"/>
      <c r="H7" s="216"/>
      <c r="I7" s="216"/>
      <c r="J7" s="216"/>
      <c r="K7" s="216"/>
      <c r="L7" s="216"/>
      <c r="M7" s="216"/>
      <c r="N7" s="216"/>
      <c r="O7" s="216"/>
      <c r="P7" s="216"/>
      <c r="R7" s="19"/>
    </row>
    <row r="8" spans="1:18" s="16" customFormat="1" ht="14.4" customHeight="1">
      <c r="B8" s="17"/>
      <c r="D8" s="15" t="s">
        <v>14</v>
      </c>
      <c r="F8" s="20" t="s">
        <v>4</v>
      </c>
      <c r="M8" s="15" t="s">
        <v>15</v>
      </c>
      <c r="O8" s="20" t="s">
        <v>4</v>
      </c>
      <c r="R8" s="19"/>
    </row>
    <row r="9" spans="1:18" s="16" customFormat="1" ht="14.4" customHeight="1">
      <c r="B9" s="17"/>
      <c r="D9" s="15" t="s">
        <v>16</v>
      </c>
      <c r="F9" s="20" t="s">
        <v>17</v>
      </c>
      <c r="M9" s="15" t="s">
        <v>18</v>
      </c>
      <c r="O9" s="167" t="s">
        <v>618</v>
      </c>
      <c r="P9" s="167"/>
      <c r="Q9" s="167"/>
      <c r="R9" s="168"/>
    </row>
    <row r="10" spans="1:18" s="16" customFormat="1" ht="10.95" customHeight="1">
      <c r="B10" s="17"/>
      <c r="R10" s="19"/>
    </row>
    <row r="11" spans="1:18" s="16" customFormat="1" ht="14.4" customHeight="1">
      <c r="B11" s="17"/>
      <c r="D11" s="15" t="s">
        <v>19</v>
      </c>
      <c r="M11" s="15" t="s">
        <v>20</v>
      </c>
      <c r="O11" s="164" t="s">
        <v>4</v>
      </c>
      <c r="P11" s="164"/>
      <c r="R11" s="19"/>
    </row>
    <row r="12" spans="1:18" s="16" customFormat="1" ht="18" customHeight="1">
      <c r="B12" s="17"/>
      <c r="E12" s="20" t="s">
        <v>21</v>
      </c>
      <c r="M12" s="15" t="s">
        <v>22</v>
      </c>
      <c r="O12" s="164" t="s">
        <v>4</v>
      </c>
      <c r="P12" s="164"/>
      <c r="R12" s="19"/>
    </row>
    <row r="13" spans="1:18" s="16" customFormat="1" ht="6.9" customHeight="1">
      <c r="B13" s="17"/>
      <c r="R13" s="19"/>
    </row>
    <row r="14" spans="1:18" s="16" customFormat="1" ht="14.4" customHeight="1">
      <c r="B14" s="17"/>
      <c r="D14" s="15" t="s">
        <v>23</v>
      </c>
      <c r="M14" s="15" t="s">
        <v>20</v>
      </c>
      <c r="O14" s="167" t="s">
        <v>618</v>
      </c>
      <c r="P14" s="167"/>
      <c r="Q14" s="167"/>
      <c r="R14" s="168"/>
    </row>
    <row r="15" spans="1:18" s="16" customFormat="1" ht="18" customHeight="1">
      <c r="B15" s="17"/>
      <c r="E15" s="166" t="s">
        <v>618</v>
      </c>
      <c r="F15" s="166"/>
      <c r="G15" s="166"/>
      <c r="H15" s="166"/>
      <c r="I15" s="166"/>
      <c r="J15" s="166"/>
      <c r="K15" s="166"/>
      <c r="L15" s="166"/>
      <c r="M15" s="15" t="s">
        <v>22</v>
      </c>
      <c r="O15" s="167" t="s">
        <v>618</v>
      </c>
      <c r="P15" s="167"/>
      <c r="Q15" s="167"/>
      <c r="R15" s="168"/>
    </row>
    <row r="16" spans="1:18" s="16" customFormat="1" ht="6.9" customHeight="1">
      <c r="B16" s="17"/>
      <c r="R16" s="19"/>
    </row>
    <row r="17" spans="2:18" s="16" customFormat="1" ht="14.4" customHeight="1">
      <c r="B17" s="17"/>
      <c r="D17" s="15" t="s">
        <v>24</v>
      </c>
      <c r="M17" s="15" t="s">
        <v>20</v>
      </c>
      <c r="O17" s="164" t="s">
        <v>4</v>
      </c>
      <c r="P17" s="164"/>
      <c r="R17" s="19"/>
    </row>
    <row r="18" spans="2:18" s="16" customFormat="1" ht="18" customHeight="1">
      <c r="B18" s="17"/>
      <c r="E18" s="20" t="s">
        <v>25</v>
      </c>
      <c r="M18" s="15" t="s">
        <v>22</v>
      </c>
      <c r="O18" s="164" t="s">
        <v>4</v>
      </c>
      <c r="P18" s="164"/>
      <c r="R18" s="19"/>
    </row>
    <row r="19" spans="2:18" s="16" customFormat="1" ht="6.9" customHeight="1">
      <c r="B19" s="17"/>
      <c r="R19" s="19"/>
    </row>
    <row r="20" spans="2:18" s="16" customFormat="1" ht="14.4" customHeight="1">
      <c r="B20" s="17"/>
      <c r="D20" s="15" t="s">
        <v>26</v>
      </c>
      <c r="M20" s="15" t="s">
        <v>20</v>
      </c>
      <c r="O20" s="164" t="s">
        <v>4</v>
      </c>
      <c r="P20" s="164"/>
      <c r="R20" s="19"/>
    </row>
    <row r="21" spans="2:18" s="16" customFormat="1" ht="18" customHeight="1">
      <c r="B21" s="17"/>
      <c r="E21" s="166" t="s">
        <v>618</v>
      </c>
      <c r="F21" s="166"/>
      <c r="G21" s="166"/>
      <c r="H21" s="166"/>
      <c r="I21" s="166"/>
      <c r="J21" s="166"/>
      <c r="K21" s="166"/>
      <c r="L21" s="166"/>
      <c r="M21" s="15" t="s">
        <v>22</v>
      </c>
      <c r="O21" s="164" t="s">
        <v>4</v>
      </c>
      <c r="P21" s="164"/>
      <c r="R21" s="19"/>
    </row>
    <row r="22" spans="2:18" s="16" customFormat="1" ht="6.9" customHeight="1">
      <c r="B22" s="17"/>
      <c r="R22" s="19"/>
    </row>
    <row r="23" spans="2:18" s="16" customFormat="1" ht="14.4" customHeight="1">
      <c r="B23" s="17"/>
      <c r="D23" s="15" t="s">
        <v>27</v>
      </c>
      <c r="R23" s="19"/>
    </row>
    <row r="24" spans="2:18" s="16" customFormat="1" ht="16.5" customHeight="1">
      <c r="B24" s="17"/>
      <c r="E24" s="169" t="s">
        <v>4</v>
      </c>
      <c r="F24" s="169"/>
      <c r="G24" s="169"/>
      <c r="H24" s="169"/>
      <c r="I24" s="169"/>
      <c r="J24" s="169"/>
      <c r="K24" s="169"/>
      <c r="L24" s="169"/>
      <c r="R24" s="19"/>
    </row>
    <row r="25" spans="2:18" s="16" customFormat="1" ht="6.9" customHeight="1">
      <c r="B25" s="17"/>
      <c r="R25" s="19"/>
    </row>
    <row r="26" spans="2:18" s="16" customFormat="1" ht="6.9" customHeight="1">
      <c r="B26" s="17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R26" s="19"/>
    </row>
    <row r="27" spans="2:18" s="16" customFormat="1" ht="14.4" customHeight="1">
      <c r="B27" s="17"/>
      <c r="D27" s="23" t="s">
        <v>72</v>
      </c>
      <c r="M27" s="156">
        <f>N88</f>
        <v>0</v>
      </c>
      <c r="N27" s="156"/>
      <c r="O27" s="156"/>
      <c r="P27" s="156"/>
      <c r="R27" s="19"/>
    </row>
    <row r="28" spans="2:18" s="16" customFormat="1" ht="14.4" customHeight="1">
      <c r="B28" s="17"/>
      <c r="D28" s="116" t="s">
        <v>73</v>
      </c>
      <c r="M28" s="156">
        <f>N106</f>
        <v>0</v>
      </c>
      <c r="N28" s="156"/>
      <c r="O28" s="156"/>
      <c r="P28" s="156"/>
      <c r="R28" s="19"/>
    </row>
    <row r="29" spans="2:18" s="16" customFormat="1" ht="6.9" customHeight="1">
      <c r="B29" s="17"/>
      <c r="R29" s="19"/>
    </row>
    <row r="30" spans="2:18" s="16" customFormat="1" ht="25.35" customHeight="1">
      <c r="B30" s="17"/>
      <c r="D30" s="25" t="s">
        <v>30</v>
      </c>
      <c r="M30" s="225">
        <f>ROUND(M27+M28,2)</f>
        <v>0</v>
      </c>
      <c r="N30" s="216"/>
      <c r="O30" s="216"/>
      <c r="P30" s="216"/>
      <c r="R30" s="19"/>
    </row>
    <row r="31" spans="2:18" s="16" customFormat="1" ht="6.9" customHeight="1">
      <c r="B31" s="17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R31" s="19"/>
    </row>
    <row r="32" spans="2:18" s="16" customFormat="1" ht="14.4" customHeight="1">
      <c r="B32" s="17"/>
      <c r="D32" s="26" t="s">
        <v>31</v>
      </c>
      <c r="E32" s="26" t="s">
        <v>32</v>
      </c>
      <c r="F32" s="27">
        <v>0.21</v>
      </c>
      <c r="G32" s="28" t="s">
        <v>33</v>
      </c>
      <c r="H32" s="222">
        <f>+M27</f>
        <v>0</v>
      </c>
      <c r="I32" s="216"/>
      <c r="J32" s="216"/>
      <c r="M32" s="222">
        <f>0.21*H32</f>
        <v>0</v>
      </c>
      <c r="N32" s="216"/>
      <c r="O32" s="216"/>
      <c r="P32" s="216"/>
      <c r="R32" s="19"/>
    </row>
    <row r="33" spans="2:18" s="16" customFormat="1" ht="14.4" customHeight="1">
      <c r="B33" s="17"/>
      <c r="E33" s="26" t="s">
        <v>34</v>
      </c>
      <c r="F33" s="27">
        <v>0.15</v>
      </c>
      <c r="G33" s="28" t="s">
        <v>33</v>
      </c>
      <c r="H33" s="222"/>
      <c r="I33" s="216"/>
      <c r="J33" s="216"/>
      <c r="M33" s="222"/>
      <c r="N33" s="216"/>
      <c r="O33" s="216"/>
      <c r="P33" s="216"/>
      <c r="R33" s="19"/>
    </row>
    <row r="34" spans="2:18" s="16" customFormat="1" ht="14.4" hidden="1" customHeight="1">
      <c r="B34" s="17"/>
      <c r="E34" s="26" t="s">
        <v>35</v>
      </c>
      <c r="F34" s="27">
        <v>0.21</v>
      </c>
      <c r="G34" s="28" t="s">
        <v>33</v>
      </c>
      <c r="H34" s="222" t="e">
        <f>ROUND((SUM(#REF!)+SUM(#REF!)), 2)</f>
        <v>#REF!</v>
      </c>
      <c r="I34" s="216"/>
      <c r="J34" s="216"/>
      <c r="M34" s="222">
        <v>0</v>
      </c>
      <c r="N34" s="216"/>
      <c r="O34" s="216"/>
      <c r="P34" s="216"/>
      <c r="R34" s="19"/>
    </row>
    <row r="35" spans="2:18" s="16" customFormat="1" ht="14.4" hidden="1" customHeight="1">
      <c r="B35" s="17"/>
      <c r="E35" s="26" t="s">
        <v>36</v>
      </c>
      <c r="F35" s="27">
        <v>0.15</v>
      </c>
      <c r="G35" s="28" t="s">
        <v>33</v>
      </c>
      <c r="H35" s="222" t="e">
        <f>ROUND((SUM(#REF!)+SUM(#REF!)), 2)</f>
        <v>#REF!</v>
      </c>
      <c r="I35" s="216"/>
      <c r="J35" s="216"/>
      <c r="M35" s="222">
        <v>0</v>
      </c>
      <c r="N35" s="216"/>
      <c r="O35" s="216"/>
      <c r="P35" s="216"/>
      <c r="R35" s="19"/>
    </row>
    <row r="36" spans="2:18" s="16" customFormat="1" ht="14.4" hidden="1" customHeight="1">
      <c r="B36" s="17"/>
      <c r="E36" s="26" t="s">
        <v>37</v>
      </c>
      <c r="F36" s="27">
        <v>0</v>
      </c>
      <c r="G36" s="28" t="s">
        <v>33</v>
      </c>
      <c r="H36" s="222" t="e">
        <f>ROUND((SUM(#REF!)+SUM(#REF!)), 2)</f>
        <v>#REF!</v>
      </c>
      <c r="I36" s="216"/>
      <c r="J36" s="216"/>
      <c r="M36" s="222">
        <v>0</v>
      </c>
      <c r="N36" s="216"/>
      <c r="O36" s="216"/>
      <c r="P36" s="216"/>
      <c r="R36" s="19"/>
    </row>
    <row r="37" spans="2:18" s="16" customFormat="1" ht="6.9" customHeight="1">
      <c r="B37" s="17"/>
      <c r="R37" s="19"/>
    </row>
    <row r="38" spans="2:18" s="16" customFormat="1" ht="25.35" customHeight="1">
      <c r="B38" s="17"/>
      <c r="C38" s="29"/>
      <c r="D38" s="30" t="s">
        <v>38</v>
      </c>
      <c r="E38" s="31"/>
      <c r="F38" s="31"/>
      <c r="G38" s="32" t="s">
        <v>39</v>
      </c>
      <c r="H38" s="33" t="s">
        <v>40</v>
      </c>
      <c r="I38" s="31"/>
      <c r="J38" s="31"/>
      <c r="K38" s="31"/>
      <c r="L38" s="223">
        <f>+H32+M32</f>
        <v>0</v>
      </c>
      <c r="M38" s="223"/>
      <c r="N38" s="223"/>
      <c r="O38" s="223"/>
      <c r="P38" s="224"/>
      <c r="Q38" s="29"/>
      <c r="R38" s="19"/>
    </row>
    <row r="39" spans="2:18" s="16" customFormat="1" ht="14.4" customHeight="1">
      <c r="B39" s="17"/>
      <c r="R39" s="19"/>
    </row>
    <row r="40" spans="2:18" s="16" customFormat="1" ht="14.4" customHeight="1">
      <c r="B40" s="17"/>
      <c r="R40" s="19"/>
    </row>
    <row r="41" spans="2:18">
      <c r="B41" s="13"/>
      <c r="R41" s="14"/>
    </row>
    <row r="42" spans="2:18">
      <c r="B42" s="13"/>
      <c r="R42" s="14"/>
    </row>
    <row r="43" spans="2:18">
      <c r="B43" s="13"/>
      <c r="R43" s="14"/>
    </row>
    <row r="44" spans="2:18">
      <c r="B44" s="13"/>
      <c r="R44" s="14"/>
    </row>
    <row r="45" spans="2:18">
      <c r="B45" s="13"/>
      <c r="R45" s="14"/>
    </row>
    <row r="46" spans="2:18">
      <c r="B46" s="13"/>
      <c r="R46" s="14"/>
    </row>
    <row r="47" spans="2:18">
      <c r="B47" s="13"/>
      <c r="R47" s="14"/>
    </row>
    <row r="48" spans="2:18">
      <c r="B48" s="13"/>
      <c r="R48" s="14"/>
    </row>
    <row r="49" spans="2:18">
      <c r="B49" s="13"/>
      <c r="R49" s="14"/>
    </row>
    <row r="50" spans="2:18" s="16" customFormat="1" ht="14.4">
      <c r="B50" s="17"/>
      <c r="D50" s="34" t="s">
        <v>41</v>
      </c>
      <c r="E50" s="22"/>
      <c r="F50" s="22"/>
      <c r="G50" s="22"/>
      <c r="H50" s="35"/>
      <c r="J50" s="34" t="s">
        <v>42</v>
      </c>
      <c r="K50" s="22"/>
      <c r="L50" s="22"/>
      <c r="M50" s="22"/>
      <c r="N50" s="22"/>
      <c r="O50" s="22"/>
      <c r="P50" s="35"/>
      <c r="R50" s="19"/>
    </row>
    <row r="51" spans="2:18">
      <c r="B51" s="13"/>
      <c r="D51" s="36"/>
      <c r="H51" s="37"/>
      <c r="J51" s="36"/>
      <c r="P51" s="37"/>
      <c r="R51" s="14"/>
    </row>
    <row r="52" spans="2:18">
      <c r="B52" s="13"/>
      <c r="D52" s="36"/>
      <c r="H52" s="37"/>
      <c r="J52" s="36"/>
      <c r="P52" s="37"/>
      <c r="R52" s="14"/>
    </row>
    <row r="53" spans="2:18">
      <c r="B53" s="13"/>
      <c r="D53" s="36"/>
      <c r="H53" s="37"/>
      <c r="J53" s="36"/>
      <c r="P53" s="37"/>
      <c r="R53" s="14"/>
    </row>
    <row r="54" spans="2:18">
      <c r="B54" s="13"/>
      <c r="D54" s="36"/>
      <c r="H54" s="37"/>
      <c r="J54" s="36"/>
      <c r="P54" s="37"/>
      <c r="R54" s="14"/>
    </row>
    <row r="55" spans="2:18">
      <c r="B55" s="13"/>
      <c r="D55" s="36"/>
      <c r="H55" s="37"/>
      <c r="J55" s="36"/>
      <c r="P55" s="37"/>
      <c r="R55" s="14"/>
    </row>
    <row r="56" spans="2:18">
      <c r="B56" s="13"/>
      <c r="D56" s="36"/>
      <c r="H56" s="37"/>
      <c r="J56" s="36"/>
      <c r="P56" s="37"/>
      <c r="R56" s="14"/>
    </row>
    <row r="57" spans="2:18">
      <c r="B57" s="13"/>
      <c r="D57" s="36"/>
      <c r="H57" s="37"/>
      <c r="J57" s="36"/>
      <c r="P57" s="37"/>
      <c r="R57" s="14"/>
    </row>
    <row r="58" spans="2:18">
      <c r="B58" s="13"/>
      <c r="D58" s="36"/>
      <c r="H58" s="37"/>
      <c r="J58" s="36"/>
      <c r="P58" s="37"/>
      <c r="R58" s="14"/>
    </row>
    <row r="59" spans="2:18" s="16" customFormat="1" ht="14.4">
      <c r="B59" s="17"/>
      <c r="D59" s="38" t="s">
        <v>43</v>
      </c>
      <c r="E59" s="39"/>
      <c r="F59" s="39"/>
      <c r="G59" s="40" t="s">
        <v>44</v>
      </c>
      <c r="H59" s="41"/>
      <c r="J59" s="38" t="s">
        <v>43</v>
      </c>
      <c r="K59" s="39"/>
      <c r="L59" s="39"/>
      <c r="M59" s="39"/>
      <c r="N59" s="40" t="s">
        <v>44</v>
      </c>
      <c r="O59" s="39"/>
      <c r="P59" s="41"/>
      <c r="R59" s="19"/>
    </row>
    <row r="60" spans="2:18">
      <c r="B60" s="13"/>
      <c r="R60" s="14"/>
    </row>
    <row r="61" spans="2:18" s="16" customFormat="1" ht="14.4">
      <c r="B61" s="17"/>
      <c r="D61" s="34" t="s">
        <v>45</v>
      </c>
      <c r="E61" s="22"/>
      <c r="F61" s="22"/>
      <c r="G61" s="22"/>
      <c r="H61" s="35"/>
      <c r="J61" s="34" t="s">
        <v>46</v>
      </c>
      <c r="K61" s="22"/>
      <c r="L61" s="22"/>
      <c r="M61" s="22"/>
      <c r="N61" s="22"/>
      <c r="O61" s="22"/>
      <c r="P61" s="35"/>
      <c r="R61" s="19"/>
    </row>
    <row r="62" spans="2:18">
      <c r="B62" s="13"/>
      <c r="D62" s="36"/>
      <c r="H62" s="37"/>
      <c r="J62" s="36"/>
      <c r="P62" s="37"/>
      <c r="R62" s="14"/>
    </row>
    <row r="63" spans="2:18">
      <c r="B63" s="13"/>
      <c r="D63" s="36"/>
      <c r="H63" s="37"/>
      <c r="J63" s="36"/>
      <c r="P63" s="37"/>
      <c r="R63" s="14"/>
    </row>
    <row r="64" spans="2:18">
      <c r="B64" s="13"/>
      <c r="D64" s="36"/>
      <c r="H64" s="37"/>
      <c r="J64" s="36"/>
      <c r="P64" s="37"/>
      <c r="R64" s="14"/>
    </row>
    <row r="65" spans="2:18">
      <c r="B65" s="13"/>
      <c r="D65" s="36"/>
      <c r="H65" s="37"/>
      <c r="J65" s="36"/>
      <c r="P65" s="37"/>
      <c r="R65" s="14"/>
    </row>
    <row r="66" spans="2:18">
      <c r="B66" s="13"/>
      <c r="D66" s="36"/>
      <c r="H66" s="37"/>
      <c r="J66" s="36"/>
      <c r="P66" s="37"/>
      <c r="R66" s="14"/>
    </row>
    <row r="67" spans="2:18">
      <c r="B67" s="13"/>
      <c r="D67" s="36"/>
      <c r="H67" s="37"/>
      <c r="J67" s="36"/>
      <c r="P67" s="37"/>
      <c r="R67" s="14"/>
    </row>
    <row r="68" spans="2:18">
      <c r="B68" s="13"/>
      <c r="D68" s="36"/>
      <c r="H68" s="37"/>
      <c r="J68" s="36"/>
      <c r="P68" s="37"/>
      <c r="R68" s="14"/>
    </row>
    <row r="69" spans="2:18">
      <c r="B69" s="13"/>
      <c r="D69" s="36"/>
      <c r="H69" s="37"/>
      <c r="J69" s="36"/>
      <c r="P69" s="37"/>
      <c r="R69" s="14"/>
    </row>
    <row r="70" spans="2:18" s="16" customFormat="1" ht="14.4">
      <c r="B70" s="17"/>
      <c r="D70" s="38" t="s">
        <v>43</v>
      </c>
      <c r="E70" s="39"/>
      <c r="F70" s="39"/>
      <c r="G70" s="40" t="s">
        <v>44</v>
      </c>
      <c r="H70" s="41"/>
      <c r="J70" s="38" t="s">
        <v>43</v>
      </c>
      <c r="K70" s="39"/>
      <c r="L70" s="39"/>
      <c r="M70" s="39"/>
      <c r="N70" s="40" t="s">
        <v>44</v>
      </c>
      <c r="O70" s="39"/>
      <c r="P70" s="41"/>
      <c r="R70" s="19"/>
    </row>
    <row r="71" spans="2:18" s="16" customFormat="1" ht="14.4" customHeight="1"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4"/>
    </row>
    <row r="75" spans="2:18" s="16" customFormat="1" ht="6.9" customHeight="1">
      <c r="B75" s="45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7"/>
    </row>
    <row r="76" spans="2:18" s="16" customFormat="1" ht="36.9" customHeight="1">
      <c r="B76" s="17"/>
      <c r="C76" s="162" t="s">
        <v>74</v>
      </c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9"/>
    </row>
    <row r="77" spans="2:18" s="16" customFormat="1" ht="6.9" customHeight="1">
      <c r="B77" s="17"/>
      <c r="R77" s="19"/>
    </row>
    <row r="78" spans="2:18" s="16" customFormat="1" ht="30" customHeight="1">
      <c r="B78" s="17"/>
      <c r="C78" s="15" t="s">
        <v>12</v>
      </c>
      <c r="F78" s="217" t="str">
        <f>F6</f>
        <v>Revitalizace objektu MŠ-Srdíčko v Praze 12</v>
      </c>
      <c r="G78" s="218"/>
      <c r="H78" s="218"/>
      <c r="I78" s="218"/>
      <c r="J78" s="218"/>
      <c r="K78" s="218"/>
      <c r="L78" s="218"/>
      <c r="M78" s="218"/>
      <c r="N78" s="218"/>
      <c r="O78" s="218"/>
      <c r="P78" s="218"/>
      <c r="R78" s="19"/>
    </row>
    <row r="79" spans="2:18" s="16" customFormat="1" ht="36.9" customHeight="1">
      <c r="B79" s="17"/>
      <c r="C79" s="48" t="s">
        <v>69</v>
      </c>
      <c r="F79" s="188" t="str">
        <f>F7</f>
        <v>obj. B - Zateplení střechy</v>
      </c>
      <c r="G79" s="216"/>
      <c r="H79" s="216"/>
      <c r="I79" s="216"/>
      <c r="J79" s="216"/>
      <c r="K79" s="216"/>
      <c r="L79" s="216"/>
      <c r="M79" s="216"/>
      <c r="N79" s="216"/>
      <c r="O79" s="216"/>
      <c r="P79" s="216"/>
      <c r="R79" s="19"/>
    </row>
    <row r="80" spans="2:18" s="16" customFormat="1" ht="6.9" customHeight="1">
      <c r="B80" s="17"/>
      <c r="R80" s="19"/>
    </row>
    <row r="81" spans="2:18" s="16" customFormat="1" ht="18" customHeight="1">
      <c r="B81" s="17"/>
      <c r="C81" s="15" t="s">
        <v>16</v>
      </c>
      <c r="F81" s="20" t="str">
        <f>F9</f>
        <v>Levského 3203/19, Praha 12 - Modřany</v>
      </c>
      <c r="K81" s="15" t="s">
        <v>18</v>
      </c>
      <c r="M81" s="209" t="str">
        <f>IF(O9="","",O9)</f>
        <v>Vyplň údaj</v>
      </c>
      <c r="N81" s="209"/>
      <c r="O81" s="209"/>
      <c r="P81" s="209"/>
      <c r="R81" s="19"/>
    </row>
    <row r="82" spans="2:18" s="16" customFormat="1" ht="6.9" customHeight="1">
      <c r="B82" s="17"/>
      <c r="R82" s="19"/>
    </row>
    <row r="83" spans="2:18" s="16" customFormat="1" ht="13.2">
      <c r="B83" s="17"/>
      <c r="C83" s="15" t="s">
        <v>19</v>
      </c>
      <c r="F83" s="20" t="str">
        <f>E12</f>
        <v>Městská část Praha 12-Úřad městské části Praha 12</v>
      </c>
      <c r="K83" s="15" t="s">
        <v>24</v>
      </c>
      <c r="M83" s="164" t="str">
        <f>E18</f>
        <v>Projektová kancelář ATLAS s.r.o., Praha Nusle,Čikl</v>
      </c>
      <c r="N83" s="164"/>
      <c r="O83" s="164"/>
      <c r="P83" s="164"/>
      <c r="Q83" s="164"/>
      <c r="R83" s="19"/>
    </row>
    <row r="84" spans="2:18" s="16" customFormat="1" ht="14.4" customHeight="1">
      <c r="B84" s="17"/>
      <c r="C84" s="15" t="s">
        <v>23</v>
      </c>
      <c r="F84" s="20" t="str">
        <f>IF(E15="","",E15)</f>
        <v>Vyplň údaj</v>
      </c>
      <c r="K84" s="15" t="s">
        <v>26</v>
      </c>
      <c r="M84" s="164" t="str">
        <f>E21</f>
        <v>Vyplň údaj</v>
      </c>
      <c r="N84" s="164"/>
      <c r="O84" s="164"/>
      <c r="P84" s="164"/>
      <c r="Q84" s="164"/>
      <c r="R84" s="19"/>
    </row>
    <row r="85" spans="2:18" s="16" customFormat="1" ht="10.35" customHeight="1">
      <c r="B85" s="17"/>
      <c r="R85" s="19"/>
    </row>
    <row r="86" spans="2:18" s="16" customFormat="1" ht="29.25" customHeight="1">
      <c r="B86" s="17"/>
      <c r="C86" s="220" t="s">
        <v>75</v>
      </c>
      <c r="D86" s="221"/>
      <c r="E86" s="221"/>
      <c r="F86" s="221"/>
      <c r="G86" s="221"/>
      <c r="H86" s="29"/>
      <c r="I86" s="29"/>
      <c r="J86" s="29"/>
      <c r="K86" s="29"/>
      <c r="L86" s="29"/>
      <c r="M86" s="29"/>
      <c r="N86" s="220" t="s">
        <v>76</v>
      </c>
      <c r="O86" s="221"/>
      <c r="P86" s="221"/>
      <c r="Q86" s="221"/>
      <c r="R86" s="19"/>
    </row>
    <row r="87" spans="2:18" s="16" customFormat="1" ht="10.35" customHeight="1">
      <c r="B87" s="17"/>
      <c r="R87" s="19"/>
    </row>
    <row r="88" spans="2:18" s="16" customFormat="1" ht="29.25" customHeight="1">
      <c r="B88" s="17"/>
      <c r="C88" s="50" t="s">
        <v>77</v>
      </c>
      <c r="N88" s="170">
        <f>N125</f>
        <v>0</v>
      </c>
      <c r="O88" s="214"/>
      <c r="P88" s="214"/>
      <c r="Q88" s="214"/>
      <c r="R88" s="19"/>
    </row>
    <row r="89" spans="2:18" s="53" customFormat="1" ht="24.9" customHeight="1">
      <c r="B89" s="52"/>
      <c r="D89" s="54" t="s">
        <v>79</v>
      </c>
      <c r="N89" s="208">
        <f>N126</f>
        <v>0</v>
      </c>
      <c r="O89" s="219"/>
      <c r="P89" s="219"/>
      <c r="Q89" s="219"/>
      <c r="R89" s="55"/>
    </row>
    <row r="90" spans="2:18" s="58" customFormat="1" ht="19.95" customHeight="1">
      <c r="B90" s="57"/>
      <c r="D90" s="59" t="s">
        <v>83</v>
      </c>
      <c r="N90" s="212">
        <f>N127</f>
        <v>0</v>
      </c>
      <c r="O90" s="213"/>
      <c r="P90" s="213"/>
      <c r="Q90" s="213"/>
      <c r="R90" s="60"/>
    </row>
    <row r="91" spans="2:18" s="58" customFormat="1" ht="19.95" customHeight="1">
      <c r="B91" s="57"/>
      <c r="D91" s="59" t="s">
        <v>85</v>
      </c>
      <c r="N91" s="212">
        <f>N131</f>
        <v>0</v>
      </c>
      <c r="O91" s="213"/>
      <c r="P91" s="213"/>
      <c r="Q91" s="213"/>
      <c r="R91" s="60"/>
    </row>
    <row r="92" spans="2:18" s="58" customFormat="1" ht="19.95" customHeight="1">
      <c r="B92" s="57"/>
      <c r="D92" s="59" t="s">
        <v>86</v>
      </c>
      <c r="N92" s="212">
        <f>N134</f>
        <v>0</v>
      </c>
      <c r="O92" s="213"/>
      <c r="P92" s="213"/>
      <c r="Q92" s="213"/>
      <c r="R92" s="60"/>
    </row>
    <row r="93" spans="2:18" s="58" customFormat="1" ht="19.95" customHeight="1">
      <c r="B93" s="57"/>
      <c r="D93" s="59" t="s">
        <v>87</v>
      </c>
      <c r="N93" s="212">
        <f>N136</f>
        <v>0</v>
      </c>
      <c r="O93" s="213"/>
      <c r="P93" s="213"/>
      <c r="Q93" s="213"/>
      <c r="R93" s="60"/>
    </row>
    <row r="94" spans="2:18" s="58" customFormat="1" ht="19.95" customHeight="1">
      <c r="B94" s="57"/>
      <c r="D94" s="59" t="s">
        <v>88</v>
      </c>
      <c r="N94" s="212">
        <f>N144</f>
        <v>0</v>
      </c>
      <c r="O94" s="213"/>
      <c r="P94" s="213"/>
      <c r="Q94" s="213"/>
      <c r="R94" s="60"/>
    </row>
    <row r="95" spans="2:18" s="53" customFormat="1" ht="24.9" customHeight="1">
      <c r="B95" s="52"/>
      <c r="D95" s="54" t="s">
        <v>89</v>
      </c>
      <c r="N95" s="208">
        <f>N146</f>
        <v>0</v>
      </c>
      <c r="O95" s="219"/>
      <c r="P95" s="219"/>
      <c r="Q95" s="219"/>
      <c r="R95" s="55"/>
    </row>
    <row r="96" spans="2:18" s="58" customFormat="1" ht="19.95" customHeight="1">
      <c r="B96" s="57"/>
      <c r="D96" s="59" t="s">
        <v>352</v>
      </c>
      <c r="N96" s="212">
        <f>N147</f>
        <v>0</v>
      </c>
      <c r="O96" s="213"/>
      <c r="P96" s="213"/>
      <c r="Q96" s="213"/>
      <c r="R96" s="60"/>
    </row>
    <row r="97" spans="2:18" s="58" customFormat="1" ht="19.95" customHeight="1">
      <c r="B97" s="57"/>
      <c r="D97" s="59" t="s">
        <v>91</v>
      </c>
      <c r="N97" s="212">
        <f>N157</f>
        <v>0</v>
      </c>
      <c r="O97" s="213"/>
      <c r="P97" s="213"/>
      <c r="Q97" s="213"/>
      <c r="R97" s="60"/>
    </row>
    <row r="98" spans="2:18" s="58" customFormat="1" ht="19.95" customHeight="1">
      <c r="B98" s="57"/>
      <c r="D98" s="59" t="s">
        <v>353</v>
      </c>
      <c r="N98" s="212">
        <f>N170</f>
        <v>0</v>
      </c>
      <c r="O98" s="213"/>
      <c r="P98" s="213"/>
      <c r="Q98" s="213"/>
      <c r="R98" s="60"/>
    </row>
    <row r="99" spans="2:18" s="58" customFormat="1" ht="19.95" customHeight="1">
      <c r="B99" s="57"/>
      <c r="D99" s="59" t="s">
        <v>354</v>
      </c>
      <c r="N99" s="212">
        <f>N177</f>
        <v>0</v>
      </c>
      <c r="O99" s="213"/>
      <c r="P99" s="213"/>
      <c r="Q99" s="213"/>
      <c r="R99" s="60"/>
    </row>
    <row r="100" spans="2:18" s="58" customFormat="1" ht="19.95" customHeight="1">
      <c r="B100" s="57"/>
      <c r="D100" s="59" t="s">
        <v>355</v>
      </c>
      <c r="N100" s="212">
        <f>N184</f>
        <v>0</v>
      </c>
      <c r="O100" s="213"/>
      <c r="P100" s="213"/>
      <c r="Q100" s="213"/>
      <c r="R100" s="60"/>
    </row>
    <row r="101" spans="2:18" s="58" customFormat="1" ht="19.95" customHeight="1">
      <c r="B101" s="57"/>
      <c r="D101" s="59" t="s">
        <v>356</v>
      </c>
      <c r="N101" s="212">
        <f>N186</f>
        <v>0</v>
      </c>
      <c r="O101" s="213"/>
      <c r="P101" s="213"/>
      <c r="Q101" s="213"/>
      <c r="R101" s="60"/>
    </row>
    <row r="102" spans="2:18" s="58" customFormat="1" ht="19.95" customHeight="1">
      <c r="B102" s="57"/>
      <c r="D102" s="59" t="s">
        <v>92</v>
      </c>
      <c r="N102" s="212">
        <f>N192</f>
        <v>0</v>
      </c>
      <c r="O102" s="213"/>
      <c r="P102" s="213"/>
      <c r="Q102" s="213"/>
      <c r="R102" s="60"/>
    </row>
    <row r="103" spans="2:18" s="58" customFormat="1" ht="19.95" customHeight="1">
      <c r="B103" s="57"/>
      <c r="D103" s="59" t="s">
        <v>94</v>
      </c>
      <c r="N103" s="212">
        <f>N202</f>
        <v>0</v>
      </c>
      <c r="O103" s="213"/>
      <c r="P103" s="213"/>
      <c r="Q103" s="213"/>
      <c r="R103" s="60"/>
    </row>
    <row r="104" spans="2:18" s="53" customFormat="1" ht="24.9" customHeight="1">
      <c r="B104" s="52"/>
      <c r="D104" s="54" t="s">
        <v>96</v>
      </c>
      <c r="N104" s="208">
        <f>+N205</f>
        <v>0</v>
      </c>
      <c r="O104" s="219"/>
      <c r="P104" s="219"/>
      <c r="Q104" s="219"/>
      <c r="R104" s="55"/>
    </row>
    <row r="105" spans="2:18" s="16" customFormat="1" ht="21.75" customHeight="1">
      <c r="B105" s="17"/>
      <c r="R105" s="19"/>
    </row>
    <row r="106" spans="2:18" s="16" customFormat="1" ht="29.25" customHeight="1">
      <c r="B106" s="17"/>
      <c r="C106" s="50"/>
      <c r="N106" s="214"/>
      <c r="O106" s="215"/>
      <c r="P106" s="215"/>
      <c r="Q106" s="215"/>
      <c r="R106" s="19"/>
    </row>
    <row r="107" spans="2:18" s="16" customFormat="1" ht="18" customHeight="1">
      <c r="B107" s="17"/>
      <c r="R107" s="19"/>
    </row>
    <row r="108" spans="2:18" s="16" customFormat="1" ht="29.25" customHeight="1">
      <c r="B108" s="17"/>
      <c r="C108" s="61" t="s">
        <v>438</v>
      </c>
      <c r="D108" s="29"/>
      <c r="E108" s="29"/>
      <c r="F108" s="29"/>
      <c r="G108" s="29"/>
      <c r="H108" s="29"/>
      <c r="I108" s="29"/>
      <c r="J108" s="29"/>
      <c r="K108" s="29"/>
      <c r="L108" s="171">
        <f>ROUND(SUM(N88+N106),2)</f>
        <v>0</v>
      </c>
      <c r="M108" s="171"/>
      <c r="N108" s="171"/>
      <c r="O108" s="171"/>
      <c r="P108" s="171"/>
      <c r="Q108" s="171"/>
      <c r="R108" s="19"/>
    </row>
    <row r="109" spans="2:18" s="16" customFormat="1" ht="6.9" customHeight="1">
      <c r="B109" s="42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4"/>
    </row>
    <row r="113" spans="2:18" s="16" customFormat="1" ht="6.9" customHeight="1">
      <c r="B113" s="45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7"/>
    </row>
    <row r="114" spans="2:18" s="16" customFormat="1" ht="36.9" customHeight="1">
      <c r="B114" s="17"/>
      <c r="C114" s="162" t="s">
        <v>101</v>
      </c>
      <c r="D114" s="216"/>
      <c r="E114" s="216"/>
      <c r="F114" s="216"/>
      <c r="G114" s="216"/>
      <c r="H114" s="216"/>
      <c r="I114" s="216"/>
      <c r="J114" s="216"/>
      <c r="K114" s="216"/>
      <c r="L114" s="216"/>
      <c r="M114" s="216"/>
      <c r="N114" s="216"/>
      <c r="O114" s="216"/>
      <c r="P114" s="216"/>
      <c r="Q114" s="216"/>
      <c r="R114" s="19"/>
    </row>
    <row r="115" spans="2:18" s="16" customFormat="1" ht="6.9" customHeight="1">
      <c r="B115" s="17"/>
      <c r="R115" s="19"/>
    </row>
    <row r="116" spans="2:18" s="16" customFormat="1" ht="30" customHeight="1">
      <c r="B116" s="17"/>
      <c r="C116" s="15" t="s">
        <v>12</v>
      </c>
      <c r="F116" s="217" t="str">
        <f>F6</f>
        <v>Revitalizace objektu MŠ-Srdíčko v Praze 12</v>
      </c>
      <c r="G116" s="218"/>
      <c r="H116" s="218"/>
      <c r="I116" s="218"/>
      <c r="J116" s="218"/>
      <c r="K116" s="218"/>
      <c r="L116" s="218"/>
      <c r="M116" s="218"/>
      <c r="N116" s="218"/>
      <c r="O116" s="218"/>
      <c r="P116" s="218"/>
      <c r="R116" s="19"/>
    </row>
    <row r="117" spans="2:18" s="16" customFormat="1" ht="36.9" customHeight="1">
      <c r="B117" s="17"/>
      <c r="C117" s="48" t="s">
        <v>69</v>
      </c>
      <c r="F117" s="188" t="str">
        <f>F7</f>
        <v>obj. B - Zateplení střechy</v>
      </c>
      <c r="G117" s="216"/>
      <c r="H117" s="216"/>
      <c r="I117" s="216"/>
      <c r="J117" s="216"/>
      <c r="K117" s="216"/>
      <c r="L117" s="216"/>
      <c r="M117" s="216"/>
      <c r="N117" s="216"/>
      <c r="O117" s="216"/>
      <c r="P117" s="216"/>
      <c r="R117" s="19"/>
    </row>
    <row r="118" spans="2:18" s="16" customFormat="1" ht="6.9" customHeight="1">
      <c r="B118" s="17"/>
      <c r="R118" s="19"/>
    </row>
    <row r="119" spans="2:18" s="16" customFormat="1" ht="18" customHeight="1">
      <c r="B119" s="17"/>
      <c r="C119" s="15" t="s">
        <v>16</v>
      </c>
      <c r="F119" s="20" t="str">
        <f>F9</f>
        <v>Levského 3203/19, Praha 12 - Modřany</v>
      </c>
      <c r="K119" s="15" t="s">
        <v>18</v>
      </c>
      <c r="M119" s="209" t="str">
        <f>IF(O9="","",O9)</f>
        <v>Vyplň údaj</v>
      </c>
      <c r="N119" s="209"/>
      <c r="O119" s="209"/>
      <c r="P119" s="209"/>
      <c r="R119" s="19"/>
    </row>
    <row r="120" spans="2:18" s="16" customFormat="1" ht="6.9" customHeight="1">
      <c r="B120" s="17"/>
      <c r="R120" s="19"/>
    </row>
    <row r="121" spans="2:18" s="16" customFormat="1" ht="13.2">
      <c r="B121" s="17"/>
      <c r="C121" s="15" t="s">
        <v>19</v>
      </c>
      <c r="F121" s="20" t="str">
        <f>E12</f>
        <v>Městská část Praha 12-Úřad městské části Praha 12</v>
      </c>
      <c r="K121" s="15" t="s">
        <v>24</v>
      </c>
      <c r="M121" s="164" t="str">
        <f>E18</f>
        <v>Projektová kancelář ATLAS s.r.o., Praha Nusle,Čikl</v>
      </c>
      <c r="N121" s="164"/>
      <c r="O121" s="164"/>
      <c r="P121" s="164"/>
      <c r="Q121" s="164"/>
      <c r="R121" s="19"/>
    </row>
    <row r="122" spans="2:18" s="16" customFormat="1" ht="14.4" customHeight="1">
      <c r="B122" s="17"/>
      <c r="C122" s="15" t="s">
        <v>23</v>
      </c>
      <c r="F122" s="20" t="str">
        <f>IF(E15="","",E15)</f>
        <v>Vyplň údaj</v>
      </c>
      <c r="K122" s="15" t="s">
        <v>26</v>
      </c>
      <c r="M122" s="164" t="str">
        <f>E21</f>
        <v>Vyplň údaj</v>
      </c>
      <c r="N122" s="164"/>
      <c r="O122" s="164"/>
      <c r="P122" s="164"/>
      <c r="Q122" s="164"/>
      <c r="R122" s="19"/>
    </row>
    <row r="123" spans="2:18" s="16" customFormat="1" ht="10.35" customHeight="1">
      <c r="B123" s="17"/>
      <c r="R123" s="19"/>
    </row>
    <row r="124" spans="2:18" s="49" customFormat="1" ht="29.25" customHeight="1">
      <c r="B124" s="64"/>
      <c r="C124" s="65" t="s">
        <v>102</v>
      </c>
      <c r="D124" s="66" t="s">
        <v>103</v>
      </c>
      <c r="E124" s="66" t="s">
        <v>48</v>
      </c>
      <c r="F124" s="210" t="s">
        <v>104</v>
      </c>
      <c r="G124" s="210"/>
      <c r="H124" s="210"/>
      <c r="I124" s="210"/>
      <c r="J124" s="66" t="s">
        <v>105</v>
      </c>
      <c r="K124" s="66" t="s">
        <v>106</v>
      </c>
      <c r="L124" s="210" t="s">
        <v>107</v>
      </c>
      <c r="M124" s="210"/>
      <c r="N124" s="210" t="s">
        <v>76</v>
      </c>
      <c r="O124" s="210"/>
      <c r="P124" s="210"/>
      <c r="Q124" s="211"/>
      <c r="R124" s="67"/>
    </row>
    <row r="125" spans="2:18" s="16" customFormat="1" ht="29.25" customHeight="1">
      <c r="B125" s="17"/>
      <c r="C125" s="71" t="s">
        <v>72</v>
      </c>
      <c r="N125" s="205">
        <f>+N126+N146+N205</f>
        <v>0</v>
      </c>
      <c r="O125" s="206"/>
      <c r="P125" s="206"/>
      <c r="Q125" s="206"/>
      <c r="R125" s="19"/>
    </row>
    <row r="126" spans="2:18" s="77" customFormat="1" ht="37.35" customHeight="1">
      <c r="B126" s="76"/>
      <c r="D126" s="78" t="s">
        <v>79</v>
      </c>
      <c r="E126" s="78"/>
      <c r="F126" s="78"/>
      <c r="G126" s="78"/>
      <c r="H126" s="78"/>
      <c r="I126" s="78"/>
      <c r="J126" s="78"/>
      <c r="K126" s="78"/>
      <c r="L126" s="78"/>
      <c r="M126" s="78"/>
      <c r="N126" s="207">
        <f>+N127+N131+N134+N136+N144</f>
        <v>0</v>
      </c>
      <c r="O126" s="208"/>
      <c r="P126" s="208"/>
      <c r="Q126" s="208"/>
      <c r="R126" s="79"/>
    </row>
    <row r="127" spans="2:18" s="77" customFormat="1" ht="19.95" customHeight="1">
      <c r="B127" s="76"/>
      <c r="D127" s="86" t="s">
        <v>83</v>
      </c>
      <c r="E127" s="86"/>
      <c r="F127" s="86"/>
      <c r="G127" s="86"/>
      <c r="H127" s="86"/>
      <c r="I127" s="86"/>
      <c r="J127" s="86"/>
      <c r="K127" s="86"/>
      <c r="L127" s="86"/>
      <c r="M127" s="86"/>
      <c r="N127" s="200">
        <f>SUM(N128:Q130)</f>
        <v>0</v>
      </c>
      <c r="O127" s="201"/>
      <c r="P127" s="201"/>
      <c r="Q127" s="201"/>
      <c r="R127" s="79"/>
    </row>
    <row r="128" spans="2:18" s="16" customFormat="1" ht="25.5" customHeight="1">
      <c r="B128" s="17"/>
      <c r="C128" s="87" t="s">
        <v>56</v>
      </c>
      <c r="D128" s="87" t="s">
        <v>116</v>
      </c>
      <c r="E128" s="88" t="s">
        <v>357</v>
      </c>
      <c r="F128" s="192" t="s">
        <v>358</v>
      </c>
      <c r="G128" s="192"/>
      <c r="H128" s="192"/>
      <c r="I128" s="192"/>
      <c r="J128" s="89" t="s">
        <v>123</v>
      </c>
      <c r="K128" s="90">
        <v>6.9210000000000003</v>
      </c>
      <c r="L128" s="226"/>
      <c r="M128" s="226"/>
      <c r="N128" s="195">
        <f>ROUND(L128*K128,2)</f>
        <v>0</v>
      </c>
      <c r="O128" s="195"/>
      <c r="P128" s="195"/>
      <c r="Q128" s="195"/>
      <c r="R128" s="19"/>
    </row>
    <row r="129" spans="1:18" s="16" customFormat="1" ht="25.5" customHeight="1">
      <c r="B129" s="17"/>
      <c r="C129" s="87" t="s">
        <v>67</v>
      </c>
      <c r="D129" s="87" t="s">
        <v>116</v>
      </c>
      <c r="E129" s="88" t="s">
        <v>359</v>
      </c>
      <c r="F129" s="192" t="s">
        <v>360</v>
      </c>
      <c r="G129" s="192"/>
      <c r="H129" s="192"/>
      <c r="I129" s="192"/>
      <c r="J129" s="89" t="s">
        <v>119</v>
      </c>
      <c r="K129" s="90">
        <v>55.36</v>
      </c>
      <c r="L129" s="226"/>
      <c r="M129" s="226"/>
      <c r="N129" s="195">
        <f>ROUND(L129*K129,2)</f>
        <v>0</v>
      </c>
      <c r="O129" s="195"/>
      <c r="P129" s="195"/>
      <c r="Q129" s="195"/>
      <c r="R129" s="19"/>
    </row>
    <row r="130" spans="1:18" s="16" customFormat="1" ht="25.5" customHeight="1">
      <c r="B130" s="17"/>
      <c r="C130" s="87" t="s">
        <v>125</v>
      </c>
      <c r="D130" s="87" t="s">
        <v>116</v>
      </c>
      <c r="E130" s="88" t="s">
        <v>361</v>
      </c>
      <c r="F130" s="192" t="s">
        <v>362</v>
      </c>
      <c r="G130" s="192"/>
      <c r="H130" s="192"/>
      <c r="I130" s="192"/>
      <c r="J130" s="89" t="s">
        <v>247</v>
      </c>
      <c r="K130" s="90">
        <v>0.95799999999999996</v>
      </c>
      <c r="L130" s="226"/>
      <c r="M130" s="226"/>
      <c r="N130" s="195">
        <f>ROUND(L130*K130,2)</f>
        <v>0</v>
      </c>
      <c r="O130" s="195"/>
      <c r="P130" s="195"/>
      <c r="Q130" s="195"/>
      <c r="R130" s="19"/>
    </row>
    <row r="131" spans="1:18" s="77" customFormat="1" ht="29.85" customHeight="1">
      <c r="B131" s="76"/>
      <c r="D131" s="86" t="s">
        <v>85</v>
      </c>
      <c r="E131" s="86"/>
      <c r="F131" s="86"/>
      <c r="G131" s="86"/>
      <c r="H131" s="86"/>
      <c r="I131" s="86"/>
      <c r="J131" s="86"/>
      <c r="K131" s="86"/>
      <c r="L131" s="86"/>
      <c r="M131" s="86"/>
      <c r="N131" s="202">
        <f>SUM(N132:Q133)</f>
        <v>0</v>
      </c>
      <c r="O131" s="203"/>
      <c r="P131" s="203"/>
      <c r="Q131" s="203"/>
      <c r="R131" s="79"/>
    </row>
    <row r="132" spans="1:18" s="16" customFormat="1" ht="25.5" customHeight="1">
      <c r="B132" s="17"/>
      <c r="C132" s="87" t="s">
        <v>120</v>
      </c>
      <c r="D132" s="87" t="s">
        <v>116</v>
      </c>
      <c r="E132" s="88" t="s">
        <v>193</v>
      </c>
      <c r="F132" s="192" t="s">
        <v>363</v>
      </c>
      <c r="G132" s="192"/>
      <c r="H132" s="192"/>
      <c r="I132" s="192"/>
      <c r="J132" s="89" t="s">
        <v>135</v>
      </c>
      <c r="K132" s="90">
        <v>35.799999999999997</v>
      </c>
      <c r="L132" s="226"/>
      <c r="M132" s="226"/>
      <c r="N132" s="195">
        <f>ROUND(L132*K132,2)</f>
        <v>0</v>
      </c>
      <c r="O132" s="195"/>
      <c r="P132" s="195"/>
      <c r="Q132" s="195"/>
      <c r="R132" s="19"/>
    </row>
    <row r="133" spans="1:18" s="16" customFormat="1" ht="25.5" customHeight="1">
      <c r="B133" s="17"/>
      <c r="C133" s="87" t="s">
        <v>127</v>
      </c>
      <c r="D133" s="87" t="s">
        <v>116</v>
      </c>
      <c r="E133" s="88" t="s">
        <v>364</v>
      </c>
      <c r="F133" s="192" t="s">
        <v>365</v>
      </c>
      <c r="G133" s="192"/>
      <c r="H133" s="192"/>
      <c r="I133" s="192"/>
      <c r="J133" s="89" t="s">
        <v>119</v>
      </c>
      <c r="K133" s="90">
        <v>823</v>
      </c>
      <c r="L133" s="226"/>
      <c r="M133" s="226"/>
      <c r="N133" s="195">
        <f>ROUND(L133*K133,2)</f>
        <v>0</v>
      </c>
      <c r="O133" s="195"/>
      <c r="P133" s="195"/>
      <c r="Q133" s="195"/>
      <c r="R133" s="19"/>
    </row>
    <row r="134" spans="1:18" s="77" customFormat="1" ht="29.85" customHeight="1">
      <c r="B134" s="76"/>
      <c r="D134" s="86" t="s">
        <v>86</v>
      </c>
      <c r="E134" s="86"/>
      <c r="F134" s="86"/>
      <c r="G134" s="86"/>
      <c r="H134" s="86"/>
      <c r="I134" s="86"/>
      <c r="J134" s="86"/>
      <c r="K134" s="86"/>
      <c r="L134" s="86"/>
      <c r="M134" s="86"/>
      <c r="N134" s="202">
        <f>SUM(N135)</f>
        <v>0</v>
      </c>
      <c r="O134" s="203"/>
      <c r="P134" s="203"/>
      <c r="Q134" s="203"/>
      <c r="R134" s="79"/>
    </row>
    <row r="135" spans="1:18" s="16" customFormat="1" ht="25.5" customHeight="1">
      <c r="B135" s="17"/>
      <c r="C135" s="87" t="s">
        <v>130</v>
      </c>
      <c r="D135" s="87" t="s">
        <v>116</v>
      </c>
      <c r="E135" s="88" t="s">
        <v>366</v>
      </c>
      <c r="F135" s="192" t="s">
        <v>367</v>
      </c>
      <c r="G135" s="192"/>
      <c r="H135" s="192"/>
      <c r="I135" s="192"/>
      <c r="J135" s="89" t="s">
        <v>123</v>
      </c>
      <c r="K135" s="90">
        <v>2.9089999999999998</v>
      </c>
      <c r="L135" s="226"/>
      <c r="M135" s="226"/>
      <c r="N135" s="195">
        <f>ROUND(L135*K135,2)</f>
        <v>0</v>
      </c>
      <c r="O135" s="195"/>
      <c r="P135" s="195"/>
      <c r="Q135" s="195"/>
      <c r="R135" s="19"/>
    </row>
    <row r="136" spans="1:18" s="77" customFormat="1" ht="29.85" customHeight="1">
      <c r="A136" s="16"/>
      <c r="B136" s="76"/>
      <c r="D136" s="86" t="s">
        <v>87</v>
      </c>
      <c r="E136" s="86"/>
      <c r="F136" s="86"/>
      <c r="G136" s="86"/>
      <c r="H136" s="86"/>
      <c r="I136" s="86"/>
      <c r="J136" s="86"/>
      <c r="K136" s="86"/>
      <c r="L136" s="86"/>
      <c r="M136" s="86"/>
      <c r="N136" s="202">
        <f>SUM(N137:Q143)</f>
        <v>0</v>
      </c>
      <c r="O136" s="203"/>
      <c r="P136" s="203"/>
      <c r="Q136" s="203"/>
      <c r="R136" s="79"/>
    </row>
    <row r="137" spans="1:18" s="16" customFormat="1" ht="38.25" customHeight="1">
      <c r="B137" s="17"/>
      <c r="C137" s="87" t="s">
        <v>132</v>
      </c>
      <c r="D137" s="87" t="s">
        <v>116</v>
      </c>
      <c r="E137" s="88" t="s">
        <v>368</v>
      </c>
      <c r="F137" s="192" t="s">
        <v>485</v>
      </c>
      <c r="G137" s="192"/>
      <c r="H137" s="192"/>
      <c r="I137" s="192"/>
      <c r="J137" s="89" t="s">
        <v>247</v>
      </c>
      <c r="K137" s="90">
        <v>65.447000000000003</v>
      </c>
      <c r="L137" s="226"/>
      <c r="M137" s="226"/>
      <c r="N137" s="195">
        <f t="shared" ref="N137:N138" si="0">ROUND(L137*K137,2)</f>
        <v>0</v>
      </c>
      <c r="O137" s="195"/>
      <c r="P137" s="195"/>
      <c r="Q137" s="195"/>
      <c r="R137" s="19"/>
    </row>
    <row r="138" spans="1:18" s="16" customFormat="1" ht="38.25" customHeight="1">
      <c r="B138" s="17"/>
      <c r="C138" s="87">
        <f>+C137+1</f>
        <v>8</v>
      </c>
      <c r="D138" s="87" t="s">
        <v>116</v>
      </c>
      <c r="E138" s="88" t="s">
        <v>249</v>
      </c>
      <c r="F138" s="192" t="s">
        <v>486</v>
      </c>
      <c r="G138" s="192"/>
      <c r="H138" s="192"/>
      <c r="I138" s="192"/>
      <c r="J138" s="89" t="s">
        <v>247</v>
      </c>
      <c r="K138" s="90">
        <v>65.447000000000003</v>
      </c>
      <c r="L138" s="226"/>
      <c r="M138" s="226"/>
      <c r="N138" s="195">
        <f t="shared" si="0"/>
        <v>0</v>
      </c>
      <c r="O138" s="195"/>
      <c r="P138" s="195"/>
      <c r="Q138" s="195"/>
      <c r="R138" s="19"/>
    </row>
    <row r="139" spans="1:18" s="16" customFormat="1" ht="38.25" customHeight="1">
      <c r="B139" s="17"/>
      <c r="C139" s="87">
        <f t="shared" ref="C139:C143" si="1">+C138+1</f>
        <v>9</v>
      </c>
      <c r="D139" s="87" t="s">
        <v>116</v>
      </c>
      <c r="E139" s="88" t="s">
        <v>495</v>
      </c>
      <c r="F139" s="192" t="s">
        <v>496</v>
      </c>
      <c r="G139" s="192"/>
      <c r="H139" s="192"/>
      <c r="I139" s="192"/>
      <c r="J139" s="89" t="s">
        <v>247</v>
      </c>
      <c r="K139" s="90">
        <v>65.447000000000003</v>
      </c>
      <c r="L139" s="226"/>
      <c r="M139" s="226"/>
      <c r="N139" s="195">
        <f t="shared" ref="N139:N141" si="2">ROUND(L139*K139,2)</f>
        <v>0</v>
      </c>
      <c r="O139" s="195"/>
      <c r="P139" s="195"/>
      <c r="Q139" s="195"/>
      <c r="R139" s="19"/>
    </row>
    <row r="140" spans="1:18" s="16" customFormat="1" ht="38.25" customHeight="1">
      <c r="B140" s="17"/>
      <c r="C140" s="87">
        <f t="shared" si="1"/>
        <v>10</v>
      </c>
      <c r="D140" s="87" t="s">
        <v>116</v>
      </c>
      <c r="E140" s="88" t="s">
        <v>493</v>
      </c>
      <c r="F140" s="192" t="s">
        <v>487</v>
      </c>
      <c r="G140" s="192"/>
      <c r="H140" s="192"/>
      <c r="I140" s="192"/>
      <c r="J140" s="89" t="s">
        <v>247</v>
      </c>
      <c r="K140" s="90">
        <f>+K139*0.3</f>
        <v>19.6341</v>
      </c>
      <c r="L140" s="226"/>
      <c r="M140" s="226"/>
      <c r="N140" s="195">
        <f t="shared" si="2"/>
        <v>0</v>
      </c>
      <c r="O140" s="195"/>
      <c r="P140" s="195"/>
      <c r="Q140" s="195"/>
      <c r="R140" s="19"/>
    </row>
    <row r="141" spans="1:18" s="16" customFormat="1" ht="87.75" customHeight="1">
      <c r="B141" s="17"/>
      <c r="C141" s="87">
        <f t="shared" si="1"/>
        <v>11</v>
      </c>
      <c r="D141" s="87" t="s">
        <v>116</v>
      </c>
      <c r="E141" s="88" t="s">
        <v>494</v>
      </c>
      <c r="F141" s="192" t="s">
        <v>488</v>
      </c>
      <c r="G141" s="192"/>
      <c r="H141" s="192"/>
      <c r="I141" s="192"/>
      <c r="J141" s="89" t="s">
        <v>247</v>
      </c>
      <c r="K141" s="90">
        <f>+K139*0.7</f>
        <v>45.812899999999999</v>
      </c>
      <c r="L141" s="226"/>
      <c r="M141" s="226"/>
      <c r="N141" s="195">
        <f t="shared" si="2"/>
        <v>0</v>
      </c>
      <c r="O141" s="195"/>
      <c r="P141" s="195"/>
      <c r="Q141" s="195"/>
      <c r="R141" s="19"/>
    </row>
    <row r="142" spans="1:18" s="16" customFormat="1" ht="38.25" customHeight="1">
      <c r="B142" s="17"/>
      <c r="C142" s="87">
        <f t="shared" si="1"/>
        <v>12</v>
      </c>
      <c r="D142" s="87" t="s">
        <v>116</v>
      </c>
      <c r="E142" s="88" t="s">
        <v>489</v>
      </c>
      <c r="F142" s="192" t="s">
        <v>492</v>
      </c>
      <c r="G142" s="192"/>
      <c r="H142" s="192"/>
      <c r="I142" s="192"/>
      <c r="J142" s="89" t="s">
        <v>247</v>
      </c>
      <c r="K142" s="90">
        <f>+K143*0.8</f>
        <v>3.6863999999999999</v>
      </c>
      <c r="L142" s="226"/>
      <c r="M142" s="226"/>
      <c r="N142" s="195">
        <f t="shared" ref="N142" si="3">ROUND(L142*K142,2)</f>
        <v>0</v>
      </c>
      <c r="O142" s="195"/>
      <c r="P142" s="195"/>
      <c r="Q142" s="195"/>
      <c r="R142" s="19"/>
    </row>
    <row r="143" spans="1:18" s="16" customFormat="1" ht="38.25" customHeight="1">
      <c r="B143" s="17"/>
      <c r="C143" s="87">
        <f t="shared" si="1"/>
        <v>13</v>
      </c>
      <c r="D143" s="87" t="s">
        <v>116</v>
      </c>
      <c r="E143" s="88" t="s">
        <v>490</v>
      </c>
      <c r="F143" s="192" t="s">
        <v>491</v>
      </c>
      <c r="G143" s="192"/>
      <c r="H143" s="192"/>
      <c r="I143" s="192"/>
      <c r="J143" s="89" t="s">
        <v>247</v>
      </c>
      <c r="K143" s="90">
        <v>4.6079999999999997</v>
      </c>
      <c r="L143" s="226"/>
      <c r="M143" s="226"/>
      <c r="N143" s="195">
        <f t="shared" ref="N143" si="4">ROUND(L143*K143,2)</f>
        <v>0</v>
      </c>
      <c r="O143" s="195"/>
      <c r="P143" s="195"/>
      <c r="Q143" s="195"/>
      <c r="R143" s="19"/>
    </row>
    <row r="144" spans="1:18" s="77" customFormat="1" ht="29.85" customHeight="1">
      <c r="B144" s="76"/>
      <c r="D144" s="86" t="s">
        <v>88</v>
      </c>
      <c r="E144" s="86"/>
      <c r="F144" s="86"/>
      <c r="G144" s="86"/>
      <c r="H144" s="86"/>
      <c r="I144" s="86"/>
      <c r="J144" s="86"/>
      <c r="K144" s="86"/>
      <c r="L144" s="86"/>
      <c r="M144" s="86"/>
      <c r="N144" s="202">
        <f>SUM(N145)</f>
        <v>0</v>
      </c>
      <c r="O144" s="203"/>
      <c r="P144" s="203"/>
      <c r="Q144" s="203"/>
      <c r="R144" s="79"/>
    </row>
    <row r="145" spans="1:18" s="16" customFormat="1" ht="25.5" customHeight="1">
      <c r="B145" s="17"/>
      <c r="C145" s="87">
        <f>+C143+1</f>
        <v>14</v>
      </c>
      <c r="D145" s="87" t="s">
        <v>116</v>
      </c>
      <c r="E145" s="88" t="s">
        <v>497</v>
      </c>
      <c r="F145" s="192" t="s">
        <v>253</v>
      </c>
      <c r="G145" s="192"/>
      <c r="H145" s="192"/>
      <c r="I145" s="192"/>
      <c r="J145" s="89" t="s">
        <v>247</v>
      </c>
      <c r="K145" s="90">
        <v>53.264000000000003</v>
      </c>
      <c r="L145" s="226"/>
      <c r="M145" s="226"/>
      <c r="N145" s="195">
        <f>ROUND(L145*K145,2)</f>
        <v>0</v>
      </c>
      <c r="O145" s="195"/>
      <c r="P145" s="195"/>
      <c r="Q145" s="195"/>
      <c r="R145" s="19"/>
    </row>
    <row r="146" spans="1:18" s="77" customFormat="1" ht="37.35" customHeight="1">
      <c r="B146" s="76"/>
      <c r="D146" s="78" t="s">
        <v>89</v>
      </c>
      <c r="E146" s="78"/>
      <c r="F146" s="78"/>
      <c r="G146" s="78"/>
      <c r="H146" s="78"/>
      <c r="I146" s="78"/>
      <c r="J146" s="78"/>
      <c r="K146" s="78"/>
      <c r="L146" s="78"/>
      <c r="M146" s="78"/>
      <c r="N146" s="196">
        <f>+N147+N157+N170+N177+N184+N186+N192+N202</f>
        <v>0</v>
      </c>
      <c r="O146" s="197"/>
      <c r="P146" s="197"/>
      <c r="Q146" s="197"/>
      <c r="R146" s="79"/>
    </row>
    <row r="147" spans="1:18" s="77" customFormat="1" ht="19.95" customHeight="1">
      <c r="B147" s="76"/>
      <c r="D147" s="86" t="s">
        <v>352</v>
      </c>
      <c r="E147" s="86"/>
      <c r="F147" s="86"/>
      <c r="G147" s="86"/>
      <c r="H147" s="86"/>
      <c r="I147" s="86"/>
      <c r="J147" s="86"/>
      <c r="K147" s="86"/>
      <c r="L147" s="86"/>
      <c r="M147" s="86"/>
      <c r="N147" s="200">
        <f>SUM(N148:Q156)</f>
        <v>0</v>
      </c>
      <c r="O147" s="201"/>
      <c r="P147" s="201"/>
      <c r="Q147" s="201"/>
      <c r="R147" s="79"/>
    </row>
    <row r="148" spans="1:18" s="16" customFormat="1" ht="25.5" customHeight="1">
      <c r="A148" s="16" t="s">
        <v>484</v>
      </c>
      <c r="B148" s="17"/>
      <c r="C148" s="87">
        <f>+C145+1</f>
        <v>15</v>
      </c>
      <c r="D148" s="87" t="s">
        <v>116</v>
      </c>
      <c r="E148" s="88" t="s">
        <v>498</v>
      </c>
      <c r="F148" s="192" t="s">
        <v>499</v>
      </c>
      <c r="G148" s="192"/>
      <c r="H148" s="192"/>
      <c r="I148" s="192"/>
      <c r="J148" s="89" t="s">
        <v>119</v>
      </c>
      <c r="K148" s="90">
        <v>823</v>
      </c>
      <c r="L148" s="226"/>
      <c r="M148" s="226"/>
      <c r="N148" s="195">
        <f t="shared" ref="N148:N156" si="5">ROUND(L148*K148,2)</f>
        <v>0</v>
      </c>
      <c r="O148" s="195"/>
      <c r="P148" s="195"/>
      <c r="Q148" s="195"/>
      <c r="R148" s="19"/>
    </row>
    <row r="149" spans="1:18" s="16" customFormat="1" ht="25.5" customHeight="1">
      <c r="B149" s="17"/>
      <c r="C149" s="87">
        <f>+C148+1</f>
        <v>16</v>
      </c>
      <c r="D149" s="87" t="s">
        <v>116</v>
      </c>
      <c r="E149" s="88" t="s">
        <v>599</v>
      </c>
      <c r="F149" s="192" t="s">
        <v>441</v>
      </c>
      <c r="G149" s="192"/>
      <c r="H149" s="192"/>
      <c r="I149" s="192"/>
      <c r="J149" s="89" t="s">
        <v>440</v>
      </c>
      <c r="K149" s="90">
        <v>1</v>
      </c>
      <c r="L149" s="226"/>
      <c r="M149" s="226"/>
      <c r="N149" s="195">
        <f t="shared" si="5"/>
        <v>0</v>
      </c>
      <c r="O149" s="195"/>
      <c r="P149" s="195"/>
      <c r="Q149" s="195"/>
      <c r="R149" s="19"/>
    </row>
    <row r="150" spans="1:18" s="16" customFormat="1" ht="38.25" customHeight="1">
      <c r="B150" s="17"/>
      <c r="C150" s="87">
        <f t="shared" ref="C150:C169" si="6">+C149+1</f>
        <v>17</v>
      </c>
      <c r="D150" s="87" t="s">
        <v>116</v>
      </c>
      <c r="E150" s="88" t="s">
        <v>371</v>
      </c>
      <c r="F150" s="192" t="s">
        <v>500</v>
      </c>
      <c r="G150" s="192"/>
      <c r="H150" s="192"/>
      <c r="I150" s="192"/>
      <c r="J150" s="89" t="s">
        <v>119</v>
      </c>
      <c r="K150" s="90">
        <v>1004.23</v>
      </c>
      <c r="L150" s="226"/>
      <c r="M150" s="226"/>
      <c r="N150" s="195">
        <f t="shared" si="5"/>
        <v>0</v>
      </c>
      <c r="O150" s="195"/>
      <c r="P150" s="195"/>
      <c r="Q150" s="195"/>
      <c r="R150" s="19"/>
    </row>
    <row r="151" spans="1:18" s="16" customFormat="1" ht="25.5" customHeight="1">
      <c r="B151" s="17"/>
      <c r="C151" s="97">
        <f t="shared" si="6"/>
        <v>18</v>
      </c>
      <c r="D151" s="97" t="s">
        <v>166</v>
      </c>
      <c r="E151" s="98" t="s">
        <v>501</v>
      </c>
      <c r="F151" s="198" t="s">
        <v>502</v>
      </c>
      <c r="G151" s="198"/>
      <c r="H151" s="198"/>
      <c r="I151" s="198"/>
      <c r="J151" s="99" t="s">
        <v>503</v>
      </c>
      <c r="K151" s="100">
        <f>+K150*0.4</f>
        <v>401.69200000000001</v>
      </c>
      <c r="L151" s="226"/>
      <c r="M151" s="226"/>
      <c r="N151" s="199">
        <f t="shared" si="5"/>
        <v>0</v>
      </c>
      <c r="O151" s="195"/>
      <c r="P151" s="195"/>
      <c r="Q151" s="195"/>
      <c r="R151" s="19"/>
    </row>
    <row r="152" spans="1:18" s="16" customFormat="1" ht="25.5" customHeight="1">
      <c r="B152" s="17"/>
      <c r="C152" s="87">
        <f t="shared" si="6"/>
        <v>19</v>
      </c>
      <c r="D152" s="87" t="s">
        <v>116</v>
      </c>
      <c r="E152" s="88" t="s">
        <v>504</v>
      </c>
      <c r="F152" s="192" t="s">
        <v>372</v>
      </c>
      <c r="G152" s="192"/>
      <c r="H152" s="192"/>
      <c r="I152" s="192"/>
      <c r="J152" s="89" t="s">
        <v>119</v>
      </c>
      <c r="K152" s="90">
        <v>1004.23</v>
      </c>
      <c r="L152" s="226"/>
      <c r="M152" s="226"/>
      <c r="N152" s="195">
        <f t="shared" si="5"/>
        <v>0</v>
      </c>
      <c r="O152" s="195"/>
      <c r="P152" s="195"/>
      <c r="Q152" s="195"/>
      <c r="R152" s="19"/>
    </row>
    <row r="153" spans="1:18" s="16" customFormat="1" ht="25.5" customHeight="1">
      <c r="B153" s="17"/>
      <c r="C153" s="97">
        <f t="shared" si="6"/>
        <v>20</v>
      </c>
      <c r="D153" s="97" t="s">
        <v>166</v>
      </c>
      <c r="E153" s="98" t="s">
        <v>505</v>
      </c>
      <c r="F153" s="198" t="s">
        <v>506</v>
      </c>
      <c r="G153" s="198"/>
      <c r="H153" s="198"/>
      <c r="I153" s="198"/>
      <c r="J153" s="99" t="s">
        <v>119</v>
      </c>
      <c r="K153" s="100">
        <f>+K152</f>
        <v>1004.23</v>
      </c>
      <c r="L153" s="226"/>
      <c r="M153" s="226"/>
      <c r="N153" s="199">
        <f t="shared" ref="N153" si="7">ROUND(L153*K153,2)</f>
        <v>0</v>
      </c>
      <c r="O153" s="195"/>
      <c r="P153" s="195"/>
      <c r="Q153" s="195"/>
      <c r="R153" s="19"/>
    </row>
    <row r="154" spans="1:18" s="16" customFormat="1" ht="38.25" customHeight="1">
      <c r="B154" s="17"/>
      <c r="C154" s="87">
        <f t="shared" si="6"/>
        <v>21</v>
      </c>
      <c r="D154" s="87" t="s">
        <v>116</v>
      </c>
      <c r="E154" s="88" t="s">
        <v>373</v>
      </c>
      <c r="F154" s="192" t="s">
        <v>507</v>
      </c>
      <c r="G154" s="192"/>
      <c r="H154" s="192"/>
      <c r="I154" s="192"/>
      <c r="J154" s="89" t="s">
        <v>119</v>
      </c>
      <c r="K154" s="90">
        <v>927</v>
      </c>
      <c r="L154" s="226"/>
      <c r="M154" s="226"/>
      <c r="N154" s="195">
        <f t="shared" si="5"/>
        <v>0</v>
      </c>
      <c r="O154" s="195"/>
      <c r="P154" s="195"/>
      <c r="Q154" s="195"/>
      <c r="R154" s="19"/>
    </row>
    <row r="155" spans="1:18" s="16" customFormat="1" ht="25.5" customHeight="1">
      <c r="B155" s="17"/>
      <c r="C155" s="97">
        <f t="shared" si="6"/>
        <v>22</v>
      </c>
      <c r="D155" s="97" t="s">
        <v>166</v>
      </c>
      <c r="E155" s="98" t="s">
        <v>508</v>
      </c>
      <c r="F155" s="198" t="s">
        <v>509</v>
      </c>
      <c r="G155" s="198"/>
      <c r="H155" s="198"/>
      <c r="I155" s="198"/>
      <c r="J155" s="99" t="s">
        <v>119</v>
      </c>
      <c r="K155" s="100">
        <f>+K154</f>
        <v>927</v>
      </c>
      <c r="L155" s="226"/>
      <c r="M155" s="226"/>
      <c r="N155" s="199">
        <f t="shared" si="5"/>
        <v>0</v>
      </c>
      <c r="O155" s="195"/>
      <c r="P155" s="195"/>
      <c r="Q155" s="195"/>
      <c r="R155" s="19"/>
    </row>
    <row r="156" spans="1:18" s="16" customFormat="1" ht="25.5" customHeight="1">
      <c r="B156" s="17"/>
      <c r="C156" s="87">
        <f t="shared" si="6"/>
        <v>23</v>
      </c>
      <c r="D156" s="87" t="s">
        <v>116</v>
      </c>
      <c r="E156" s="88" t="s">
        <v>374</v>
      </c>
      <c r="F156" s="192" t="s">
        <v>375</v>
      </c>
      <c r="G156" s="192"/>
      <c r="H156" s="192"/>
      <c r="I156" s="192"/>
      <c r="J156" s="89" t="s">
        <v>261</v>
      </c>
      <c r="K156" s="3"/>
      <c r="L156" s="226"/>
      <c r="M156" s="226"/>
      <c r="N156" s="195">
        <f t="shared" si="5"/>
        <v>0</v>
      </c>
      <c r="O156" s="195"/>
      <c r="P156" s="195"/>
      <c r="Q156" s="195"/>
      <c r="R156" s="19"/>
    </row>
    <row r="157" spans="1:18" s="77" customFormat="1" ht="29.85" customHeight="1">
      <c r="B157" s="76"/>
      <c r="D157" s="86" t="s">
        <v>91</v>
      </c>
      <c r="E157" s="86"/>
      <c r="F157" s="86"/>
      <c r="G157" s="86"/>
      <c r="H157" s="86"/>
      <c r="I157" s="86"/>
      <c r="J157" s="86"/>
      <c r="K157" s="86"/>
      <c r="L157" s="86"/>
      <c r="M157" s="86"/>
      <c r="N157" s="202">
        <f>SUM(N158:Q169)</f>
        <v>0</v>
      </c>
      <c r="O157" s="203"/>
      <c r="P157" s="203"/>
      <c r="Q157" s="203"/>
      <c r="R157" s="79"/>
    </row>
    <row r="158" spans="1:18" s="16" customFormat="1" ht="51" customHeight="1">
      <c r="B158" s="17"/>
      <c r="C158" s="87">
        <f>+C156+1</f>
        <v>24</v>
      </c>
      <c r="D158" s="87" t="s">
        <v>116</v>
      </c>
      <c r="E158" s="88" t="s">
        <v>376</v>
      </c>
      <c r="F158" s="192" t="s">
        <v>510</v>
      </c>
      <c r="G158" s="192"/>
      <c r="H158" s="192"/>
      <c r="I158" s="192"/>
      <c r="J158" s="89" t="s">
        <v>119</v>
      </c>
      <c r="K158" s="90">
        <v>823</v>
      </c>
      <c r="L158" s="226"/>
      <c r="M158" s="226"/>
      <c r="N158" s="195">
        <f t="shared" ref="N158:N169" si="8">ROUND(L158*K158,2)</f>
        <v>0</v>
      </c>
      <c r="O158" s="195"/>
      <c r="P158" s="195"/>
      <c r="Q158" s="195"/>
      <c r="R158" s="19"/>
    </row>
    <row r="159" spans="1:18" s="16" customFormat="1" ht="38.25" customHeight="1">
      <c r="B159" s="17"/>
      <c r="C159" s="87">
        <f t="shared" si="6"/>
        <v>25</v>
      </c>
      <c r="D159" s="87" t="s">
        <v>116</v>
      </c>
      <c r="E159" s="88" t="s">
        <v>377</v>
      </c>
      <c r="F159" s="192" t="s">
        <v>511</v>
      </c>
      <c r="G159" s="192"/>
      <c r="H159" s="192"/>
      <c r="I159" s="192"/>
      <c r="J159" s="89" t="s">
        <v>119</v>
      </c>
      <c r="K159" s="90">
        <v>271.84500000000003</v>
      </c>
      <c r="L159" s="226"/>
      <c r="M159" s="226"/>
      <c r="N159" s="195">
        <f t="shared" si="8"/>
        <v>0</v>
      </c>
      <c r="O159" s="195"/>
      <c r="P159" s="195"/>
      <c r="Q159" s="195"/>
      <c r="R159" s="19"/>
    </row>
    <row r="160" spans="1:18" s="16" customFormat="1" ht="25.5" customHeight="1">
      <c r="B160" s="17"/>
      <c r="C160" s="97">
        <f t="shared" si="6"/>
        <v>26</v>
      </c>
      <c r="D160" s="97" t="s">
        <v>166</v>
      </c>
      <c r="E160" s="98" t="s">
        <v>512</v>
      </c>
      <c r="F160" s="198" t="s">
        <v>513</v>
      </c>
      <c r="G160" s="198"/>
      <c r="H160" s="198"/>
      <c r="I160" s="198"/>
      <c r="J160" s="99" t="s">
        <v>119</v>
      </c>
      <c r="K160" s="100">
        <f>+K159</f>
        <v>271.84500000000003</v>
      </c>
      <c r="L160" s="226"/>
      <c r="M160" s="226"/>
      <c r="N160" s="199">
        <f t="shared" si="8"/>
        <v>0</v>
      </c>
      <c r="O160" s="195"/>
      <c r="P160" s="195"/>
      <c r="Q160" s="195"/>
      <c r="R160" s="19"/>
    </row>
    <row r="161" spans="2:18" s="16" customFormat="1" ht="38.25" customHeight="1">
      <c r="B161" s="17"/>
      <c r="C161" s="87">
        <f t="shared" si="6"/>
        <v>27</v>
      </c>
      <c r="D161" s="87" t="s">
        <v>116</v>
      </c>
      <c r="E161" s="88" t="s">
        <v>263</v>
      </c>
      <c r="F161" s="192" t="s">
        <v>514</v>
      </c>
      <c r="G161" s="192"/>
      <c r="H161" s="192"/>
      <c r="I161" s="192"/>
      <c r="J161" s="89" t="s">
        <v>119</v>
      </c>
      <c r="K161" s="90">
        <v>1646</v>
      </c>
      <c r="L161" s="226"/>
      <c r="M161" s="226"/>
      <c r="N161" s="195">
        <f t="shared" si="8"/>
        <v>0</v>
      </c>
      <c r="O161" s="195"/>
      <c r="P161" s="195"/>
      <c r="Q161" s="195"/>
      <c r="R161" s="19"/>
    </row>
    <row r="162" spans="2:18" s="16" customFormat="1" ht="25.5" customHeight="1">
      <c r="B162" s="17"/>
      <c r="C162" s="97">
        <f t="shared" si="6"/>
        <v>28</v>
      </c>
      <c r="D162" s="97" t="s">
        <v>166</v>
      </c>
      <c r="E162" s="98" t="s">
        <v>515</v>
      </c>
      <c r="F162" s="198" t="s">
        <v>620</v>
      </c>
      <c r="G162" s="198"/>
      <c r="H162" s="198"/>
      <c r="I162" s="198"/>
      <c r="J162" s="99" t="s">
        <v>119</v>
      </c>
      <c r="K162" s="100">
        <f>+K161</f>
        <v>1646</v>
      </c>
      <c r="L162" s="226"/>
      <c r="M162" s="226"/>
      <c r="N162" s="199">
        <f t="shared" ref="N162" si="9">ROUND(L162*K162,2)</f>
        <v>0</v>
      </c>
      <c r="O162" s="195"/>
      <c r="P162" s="195"/>
      <c r="Q162" s="195"/>
      <c r="R162" s="19"/>
    </row>
    <row r="163" spans="2:18" s="16" customFormat="1" ht="38.25" customHeight="1">
      <c r="B163" s="17"/>
      <c r="C163" s="87">
        <f t="shared" si="6"/>
        <v>29</v>
      </c>
      <c r="D163" s="87" t="s">
        <v>116</v>
      </c>
      <c r="E163" s="88" t="s">
        <v>516</v>
      </c>
      <c r="F163" s="192" t="s">
        <v>517</v>
      </c>
      <c r="G163" s="192"/>
      <c r="H163" s="192"/>
      <c r="I163" s="192"/>
      <c r="J163" s="89" t="s">
        <v>119</v>
      </c>
      <c r="K163" s="90">
        <v>823</v>
      </c>
      <c r="L163" s="226"/>
      <c r="M163" s="226"/>
      <c r="N163" s="195">
        <f>ROUND(L163*K163,2)</f>
        <v>0</v>
      </c>
      <c r="O163" s="195"/>
      <c r="P163" s="195"/>
      <c r="Q163" s="195"/>
      <c r="R163" s="19"/>
    </row>
    <row r="164" spans="2:18" s="16" customFormat="1" ht="25.5" customHeight="1">
      <c r="B164" s="17"/>
      <c r="C164" s="97">
        <f t="shared" si="6"/>
        <v>30</v>
      </c>
      <c r="D164" s="97" t="s">
        <v>166</v>
      </c>
      <c r="E164" s="98" t="s">
        <v>272</v>
      </c>
      <c r="F164" s="198" t="s">
        <v>273</v>
      </c>
      <c r="G164" s="198"/>
      <c r="H164" s="198"/>
      <c r="I164" s="198"/>
      <c r="J164" s="99" t="s">
        <v>123</v>
      </c>
      <c r="K164" s="100">
        <f>+K163*0.1</f>
        <v>82.300000000000011</v>
      </c>
      <c r="L164" s="226"/>
      <c r="M164" s="226"/>
      <c r="N164" s="199">
        <f t="shared" ref="N164" si="10">ROUND(L164*K164,2)</f>
        <v>0</v>
      </c>
      <c r="O164" s="195"/>
      <c r="P164" s="195"/>
      <c r="Q164" s="195"/>
      <c r="R164" s="19"/>
    </row>
    <row r="165" spans="2:18" s="16" customFormat="1" ht="38.25" customHeight="1">
      <c r="B165" s="17"/>
      <c r="C165" s="87">
        <f t="shared" si="6"/>
        <v>31</v>
      </c>
      <c r="D165" s="87" t="s">
        <v>116</v>
      </c>
      <c r="E165" s="88" t="s">
        <v>378</v>
      </c>
      <c r="F165" s="192" t="s">
        <v>518</v>
      </c>
      <c r="G165" s="192"/>
      <c r="H165" s="192"/>
      <c r="I165" s="192"/>
      <c r="J165" s="89" t="s">
        <v>135</v>
      </c>
      <c r="K165" s="90">
        <v>258.89999999999998</v>
      </c>
      <c r="L165" s="226"/>
      <c r="M165" s="226"/>
      <c r="N165" s="195">
        <f t="shared" si="8"/>
        <v>0</v>
      </c>
      <c r="O165" s="195"/>
      <c r="P165" s="195"/>
      <c r="Q165" s="195"/>
      <c r="R165" s="19"/>
    </row>
    <row r="166" spans="2:18" s="16" customFormat="1" ht="25.5" customHeight="1">
      <c r="B166" s="17"/>
      <c r="C166" s="97">
        <f t="shared" si="6"/>
        <v>32</v>
      </c>
      <c r="D166" s="97" t="s">
        <v>166</v>
      </c>
      <c r="E166" s="98" t="s">
        <v>519</v>
      </c>
      <c r="F166" s="198" t="s">
        <v>520</v>
      </c>
      <c r="G166" s="198"/>
      <c r="H166" s="198"/>
      <c r="I166" s="198"/>
      <c r="J166" s="99" t="s">
        <v>135</v>
      </c>
      <c r="K166" s="100">
        <f>+K165</f>
        <v>258.89999999999998</v>
      </c>
      <c r="L166" s="226"/>
      <c r="M166" s="226"/>
      <c r="N166" s="199">
        <f t="shared" si="8"/>
        <v>0</v>
      </c>
      <c r="O166" s="195"/>
      <c r="P166" s="195"/>
      <c r="Q166" s="195"/>
      <c r="R166" s="19"/>
    </row>
    <row r="167" spans="2:18" s="16" customFormat="1" ht="51" customHeight="1">
      <c r="B167" s="17"/>
      <c r="C167" s="87">
        <f t="shared" si="6"/>
        <v>33</v>
      </c>
      <c r="D167" s="87" t="s">
        <v>116</v>
      </c>
      <c r="E167" s="88" t="s">
        <v>379</v>
      </c>
      <c r="F167" s="192" t="s">
        <v>521</v>
      </c>
      <c r="G167" s="192"/>
      <c r="H167" s="192"/>
      <c r="I167" s="192"/>
      <c r="J167" s="89" t="s">
        <v>119</v>
      </c>
      <c r="K167" s="90">
        <v>1094.8399999999999</v>
      </c>
      <c r="L167" s="226"/>
      <c r="M167" s="226"/>
      <c r="N167" s="195">
        <f t="shared" si="8"/>
        <v>0</v>
      </c>
      <c r="O167" s="195"/>
      <c r="P167" s="195"/>
      <c r="Q167" s="195"/>
      <c r="R167" s="19"/>
    </row>
    <row r="168" spans="2:18" s="16" customFormat="1" ht="25.5" customHeight="1">
      <c r="B168" s="17"/>
      <c r="C168" s="97">
        <f t="shared" si="6"/>
        <v>34</v>
      </c>
      <c r="D168" s="97" t="s">
        <v>166</v>
      </c>
      <c r="E168" s="98" t="s">
        <v>522</v>
      </c>
      <c r="F168" s="198" t="s">
        <v>628</v>
      </c>
      <c r="G168" s="198"/>
      <c r="H168" s="198"/>
      <c r="I168" s="198"/>
      <c r="J168" s="99" t="s">
        <v>135</v>
      </c>
      <c r="K168" s="100">
        <f>+K167</f>
        <v>1094.8399999999999</v>
      </c>
      <c r="L168" s="226"/>
      <c r="M168" s="226"/>
      <c r="N168" s="199">
        <f t="shared" ref="N168" si="11">ROUND(L168*K168,2)</f>
        <v>0</v>
      </c>
      <c r="O168" s="195"/>
      <c r="P168" s="195"/>
      <c r="Q168" s="195"/>
      <c r="R168" s="19"/>
    </row>
    <row r="169" spans="2:18" s="16" customFormat="1" ht="25.5" customHeight="1">
      <c r="B169" s="17"/>
      <c r="C169" s="87">
        <f t="shared" si="6"/>
        <v>35</v>
      </c>
      <c r="D169" s="87" t="s">
        <v>116</v>
      </c>
      <c r="E169" s="88" t="s">
        <v>281</v>
      </c>
      <c r="F169" s="192" t="s">
        <v>282</v>
      </c>
      <c r="G169" s="192"/>
      <c r="H169" s="192"/>
      <c r="I169" s="192"/>
      <c r="J169" s="89" t="s">
        <v>261</v>
      </c>
      <c r="K169" s="3"/>
      <c r="L169" s="226"/>
      <c r="M169" s="226"/>
      <c r="N169" s="195">
        <f t="shared" si="8"/>
        <v>0</v>
      </c>
      <c r="O169" s="195"/>
      <c r="P169" s="195"/>
      <c r="Q169" s="195"/>
      <c r="R169" s="19"/>
    </row>
    <row r="170" spans="2:18" s="77" customFormat="1" ht="29.85" customHeight="1">
      <c r="B170" s="76"/>
      <c r="D170" s="86" t="s">
        <v>353</v>
      </c>
      <c r="E170" s="86"/>
      <c r="F170" s="86"/>
      <c r="G170" s="86"/>
      <c r="H170" s="86"/>
      <c r="I170" s="86"/>
      <c r="J170" s="86"/>
      <c r="K170" s="86"/>
      <c r="L170" s="86"/>
      <c r="M170" s="86"/>
      <c r="N170" s="202">
        <f>SUM(N171:Q176)</f>
        <v>0</v>
      </c>
      <c r="O170" s="203"/>
      <c r="P170" s="203"/>
      <c r="Q170" s="203"/>
      <c r="R170" s="79"/>
    </row>
    <row r="171" spans="2:18" s="16" customFormat="1" ht="25.5" customHeight="1">
      <c r="B171" s="17"/>
      <c r="C171" s="87">
        <f>+C169+1</f>
        <v>36</v>
      </c>
      <c r="D171" s="87" t="s">
        <v>116</v>
      </c>
      <c r="E171" s="88" t="s">
        <v>380</v>
      </c>
      <c r="F171" s="192" t="s">
        <v>381</v>
      </c>
      <c r="G171" s="192"/>
      <c r="H171" s="192"/>
      <c r="I171" s="192"/>
      <c r="J171" s="89" t="s">
        <v>135</v>
      </c>
      <c r="K171" s="90">
        <v>11</v>
      </c>
      <c r="L171" s="226"/>
      <c r="M171" s="226"/>
      <c r="N171" s="195">
        <f t="shared" ref="N171:N176" si="12">ROUND(L171*K171,2)</f>
        <v>0</v>
      </c>
      <c r="O171" s="195"/>
      <c r="P171" s="195"/>
      <c r="Q171" s="195"/>
      <c r="R171" s="19"/>
    </row>
    <row r="172" spans="2:18" s="16" customFormat="1" ht="16.5" customHeight="1">
      <c r="B172" s="17"/>
      <c r="C172" s="87">
        <f>+C171+1</f>
        <v>37</v>
      </c>
      <c r="D172" s="87" t="s">
        <v>116</v>
      </c>
      <c r="E172" s="88" t="s">
        <v>382</v>
      </c>
      <c r="F172" s="192" t="s">
        <v>383</v>
      </c>
      <c r="G172" s="192"/>
      <c r="H172" s="192"/>
      <c r="I172" s="192"/>
      <c r="J172" s="89" t="s">
        <v>142</v>
      </c>
      <c r="K172" s="90">
        <v>8</v>
      </c>
      <c r="L172" s="226"/>
      <c r="M172" s="226"/>
      <c r="N172" s="195">
        <f t="shared" si="12"/>
        <v>0</v>
      </c>
      <c r="O172" s="195"/>
      <c r="P172" s="195"/>
      <c r="Q172" s="195"/>
      <c r="R172" s="19"/>
    </row>
    <row r="173" spans="2:18" s="16" customFormat="1" ht="38.25" customHeight="1">
      <c r="B173" s="17"/>
      <c r="C173" s="87">
        <f t="shared" ref="C173:C175" si="13">+C172+1</f>
        <v>38</v>
      </c>
      <c r="D173" s="87" t="s">
        <v>116</v>
      </c>
      <c r="E173" s="88" t="s">
        <v>384</v>
      </c>
      <c r="F173" s="192" t="s">
        <v>385</v>
      </c>
      <c r="G173" s="192"/>
      <c r="H173" s="192"/>
      <c r="I173" s="192"/>
      <c r="J173" s="89" t="s">
        <v>142</v>
      </c>
      <c r="K173" s="90">
        <v>8</v>
      </c>
      <c r="L173" s="226"/>
      <c r="M173" s="226"/>
      <c r="N173" s="195">
        <f t="shared" si="12"/>
        <v>0</v>
      </c>
      <c r="O173" s="195"/>
      <c r="P173" s="195"/>
      <c r="Q173" s="195"/>
      <c r="R173" s="19"/>
    </row>
    <row r="174" spans="2:18" s="16" customFormat="1" ht="25.5" customHeight="1">
      <c r="B174" s="17"/>
      <c r="C174" s="87">
        <f t="shared" si="13"/>
        <v>39</v>
      </c>
      <c r="D174" s="87" t="s">
        <v>116</v>
      </c>
      <c r="E174" s="88" t="s">
        <v>479</v>
      </c>
      <c r="F174" s="192" t="s">
        <v>386</v>
      </c>
      <c r="G174" s="192"/>
      <c r="H174" s="192"/>
      <c r="I174" s="192"/>
      <c r="J174" s="89" t="s">
        <v>142</v>
      </c>
      <c r="K174" s="90">
        <v>5</v>
      </c>
      <c r="L174" s="226"/>
      <c r="M174" s="226"/>
      <c r="N174" s="195">
        <f t="shared" si="12"/>
        <v>0</v>
      </c>
      <c r="O174" s="195"/>
      <c r="P174" s="195"/>
      <c r="Q174" s="195"/>
      <c r="R174" s="19"/>
    </row>
    <row r="175" spans="2:18" s="16" customFormat="1" ht="38.25" customHeight="1">
      <c r="B175" s="17"/>
      <c r="C175" s="87">
        <f t="shared" si="13"/>
        <v>40</v>
      </c>
      <c r="D175" s="87" t="s">
        <v>116</v>
      </c>
      <c r="E175" s="88" t="s">
        <v>480</v>
      </c>
      <c r="F175" s="192" t="s">
        <v>387</v>
      </c>
      <c r="G175" s="192"/>
      <c r="H175" s="192"/>
      <c r="I175" s="192"/>
      <c r="J175" s="89" t="s">
        <v>142</v>
      </c>
      <c r="K175" s="90">
        <v>11</v>
      </c>
      <c r="L175" s="226"/>
      <c r="M175" s="226"/>
      <c r="N175" s="195">
        <f t="shared" si="12"/>
        <v>0</v>
      </c>
      <c r="O175" s="195"/>
      <c r="P175" s="195"/>
      <c r="Q175" s="195"/>
      <c r="R175" s="19"/>
    </row>
    <row r="176" spans="2:18" s="16" customFormat="1" ht="25.5" customHeight="1">
      <c r="B176" s="17"/>
      <c r="C176" s="87">
        <f>+C175+1</f>
        <v>41</v>
      </c>
      <c r="D176" s="87" t="s">
        <v>116</v>
      </c>
      <c r="E176" s="88" t="s">
        <v>388</v>
      </c>
      <c r="F176" s="192" t="s">
        <v>389</v>
      </c>
      <c r="G176" s="192"/>
      <c r="H176" s="192"/>
      <c r="I176" s="192"/>
      <c r="J176" s="89" t="s">
        <v>261</v>
      </c>
      <c r="K176" s="3"/>
      <c r="L176" s="226"/>
      <c r="M176" s="226"/>
      <c r="N176" s="195">
        <f t="shared" si="12"/>
        <v>0</v>
      </c>
      <c r="O176" s="195"/>
      <c r="P176" s="195"/>
      <c r="Q176" s="195"/>
      <c r="R176" s="19"/>
    </row>
    <row r="177" spans="2:18" s="77" customFormat="1" ht="29.85" customHeight="1">
      <c r="B177" s="76"/>
      <c r="D177" s="86" t="s">
        <v>354</v>
      </c>
      <c r="E177" s="86"/>
      <c r="F177" s="86"/>
      <c r="G177" s="86"/>
      <c r="H177" s="86"/>
      <c r="I177" s="86"/>
      <c r="J177" s="86"/>
      <c r="K177" s="86"/>
      <c r="L177" s="86"/>
      <c r="M177" s="86"/>
      <c r="N177" s="202">
        <f>SUM(N178:Q183)</f>
        <v>0</v>
      </c>
      <c r="O177" s="203"/>
      <c r="P177" s="203"/>
      <c r="Q177" s="203"/>
      <c r="R177" s="79"/>
    </row>
    <row r="178" spans="2:18" s="16" customFormat="1" ht="25.5" customHeight="1">
      <c r="B178" s="17"/>
      <c r="C178" s="119">
        <f>+C176+1</f>
        <v>42</v>
      </c>
      <c r="D178" s="87" t="s">
        <v>116</v>
      </c>
      <c r="E178" s="120" t="s">
        <v>523</v>
      </c>
      <c r="F178" s="227" t="s">
        <v>524</v>
      </c>
      <c r="G178" s="228"/>
      <c r="H178" s="228"/>
      <c r="I178" s="229"/>
      <c r="J178" s="89" t="s">
        <v>135</v>
      </c>
      <c r="K178" s="90">
        <v>374</v>
      </c>
      <c r="L178" s="226"/>
      <c r="M178" s="226"/>
      <c r="N178" s="195">
        <f>ROUND(L178*K178,2)</f>
        <v>0</v>
      </c>
      <c r="O178" s="195"/>
      <c r="P178" s="195"/>
      <c r="Q178" s="195"/>
      <c r="R178" s="19"/>
    </row>
    <row r="179" spans="2:18" s="16" customFormat="1" ht="27.75" customHeight="1">
      <c r="B179" s="17"/>
      <c r="C179" s="119">
        <f>+C178+1</f>
        <v>43</v>
      </c>
      <c r="D179" s="87" t="s">
        <v>116</v>
      </c>
      <c r="E179" s="120" t="s">
        <v>390</v>
      </c>
      <c r="F179" s="227" t="s">
        <v>527</v>
      </c>
      <c r="G179" s="228"/>
      <c r="H179" s="228"/>
      <c r="I179" s="229"/>
      <c r="J179" s="89" t="s">
        <v>135</v>
      </c>
      <c r="K179" s="90">
        <v>374</v>
      </c>
      <c r="L179" s="226"/>
      <c r="M179" s="226"/>
      <c r="N179" s="195">
        <f>ROUND(L179*K179,2)</f>
        <v>0</v>
      </c>
      <c r="O179" s="195"/>
      <c r="P179" s="195"/>
      <c r="Q179" s="195"/>
      <c r="R179" s="19"/>
    </row>
    <row r="180" spans="2:18" s="16" customFormat="1" ht="25.5" customHeight="1">
      <c r="B180" s="17"/>
      <c r="C180" s="119" t="s">
        <v>639</v>
      </c>
      <c r="D180" s="87" t="s">
        <v>116</v>
      </c>
      <c r="E180" s="120" t="s">
        <v>640</v>
      </c>
      <c r="F180" s="227" t="s">
        <v>641</v>
      </c>
      <c r="G180" s="228"/>
      <c r="H180" s="228"/>
      <c r="I180" s="229"/>
      <c r="J180" s="89" t="s">
        <v>135</v>
      </c>
      <c r="K180" s="90">
        <f>52*2+25*4</f>
        <v>204</v>
      </c>
      <c r="L180" s="226"/>
      <c r="M180" s="226"/>
      <c r="N180" s="195">
        <f>ROUND(L180*K180,2)</f>
        <v>0</v>
      </c>
      <c r="O180" s="195"/>
      <c r="P180" s="195"/>
      <c r="Q180" s="195"/>
      <c r="R180" s="19"/>
    </row>
    <row r="181" spans="2:18" s="16" customFormat="1" ht="25.5" customHeight="1">
      <c r="B181" s="17"/>
      <c r="C181" s="119">
        <f>+C179+1</f>
        <v>44</v>
      </c>
      <c r="D181" s="87" t="s">
        <v>116</v>
      </c>
      <c r="E181" s="120" t="s">
        <v>525</v>
      </c>
      <c r="F181" s="227" t="s">
        <v>526</v>
      </c>
      <c r="G181" s="228"/>
      <c r="H181" s="228"/>
      <c r="I181" s="229"/>
      <c r="J181" s="89" t="s">
        <v>138</v>
      </c>
      <c r="K181" s="90">
        <v>1</v>
      </c>
      <c r="L181" s="226"/>
      <c r="M181" s="226"/>
      <c r="N181" s="195">
        <f>ROUND(L181*K181,2)</f>
        <v>0</v>
      </c>
      <c r="O181" s="195"/>
      <c r="P181" s="195"/>
      <c r="Q181" s="195"/>
      <c r="R181" s="19"/>
    </row>
    <row r="182" spans="2:18" s="16" customFormat="1" ht="25.5" customHeight="1">
      <c r="B182" s="17"/>
      <c r="C182" s="119">
        <f t="shared" ref="C182:C183" si="14">+C181+1</f>
        <v>45</v>
      </c>
      <c r="D182" s="87" t="s">
        <v>116</v>
      </c>
      <c r="E182" s="120" t="s">
        <v>600</v>
      </c>
      <c r="F182" s="227" t="s">
        <v>528</v>
      </c>
      <c r="G182" s="228"/>
      <c r="H182" s="228"/>
      <c r="I182" s="229"/>
      <c r="J182" s="89" t="s">
        <v>440</v>
      </c>
      <c r="K182" s="90">
        <v>1</v>
      </c>
      <c r="L182" s="226"/>
      <c r="M182" s="226"/>
      <c r="N182" s="195">
        <f>ROUND(L182*K182,2)</f>
        <v>0</v>
      </c>
      <c r="O182" s="195"/>
      <c r="P182" s="195"/>
      <c r="Q182" s="195"/>
      <c r="R182" s="19"/>
    </row>
    <row r="183" spans="2:18" s="16" customFormat="1" ht="25.5" customHeight="1">
      <c r="B183" s="17"/>
      <c r="C183" s="119">
        <f t="shared" si="14"/>
        <v>46</v>
      </c>
      <c r="D183" s="87" t="s">
        <v>116</v>
      </c>
      <c r="E183" s="88" t="s">
        <v>388</v>
      </c>
      <c r="F183" s="192" t="s">
        <v>389</v>
      </c>
      <c r="G183" s="192"/>
      <c r="H183" s="192"/>
      <c r="I183" s="192"/>
      <c r="J183" s="89" t="s">
        <v>261</v>
      </c>
      <c r="K183" s="3"/>
      <c r="L183" s="226"/>
      <c r="M183" s="226"/>
      <c r="N183" s="195">
        <f t="shared" ref="N183" si="15">ROUND(L183*K183,2)</f>
        <v>0</v>
      </c>
      <c r="O183" s="195"/>
      <c r="P183" s="195"/>
      <c r="Q183" s="195"/>
      <c r="R183" s="19"/>
    </row>
    <row r="184" spans="2:18" s="77" customFormat="1" ht="29.85" customHeight="1">
      <c r="B184" s="76"/>
      <c r="D184" s="86" t="s">
        <v>355</v>
      </c>
      <c r="E184" s="86"/>
      <c r="F184" s="86"/>
      <c r="G184" s="86"/>
      <c r="H184" s="86"/>
      <c r="I184" s="86"/>
      <c r="J184" s="86"/>
      <c r="K184" s="86"/>
      <c r="L184" s="86"/>
      <c r="M184" s="86"/>
      <c r="N184" s="202">
        <f>SUM(N185)</f>
        <v>0</v>
      </c>
      <c r="O184" s="203"/>
      <c r="P184" s="203"/>
      <c r="Q184" s="203"/>
      <c r="R184" s="79"/>
    </row>
    <row r="185" spans="2:18" s="16" customFormat="1" ht="51" customHeight="1">
      <c r="B185" s="17"/>
      <c r="C185" s="87">
        <f>+C183+1</f>
        <v>47</v>
      </c>
      <c r="D185" s="87" t="s">
        <v>116</v>
      </c>
      <c r="E185" s="88" t="s">
        <v>391</v>
      </c>
      <c r="F185" s="192" t="s">
        <v>392</v>
      </c>
      <c r="G185" s="192"/>
      <c r="H185" s="192"/>
      <c r="I185" s="192"/>
      <c r="J185" s="89" t="s">
        <v>142</v>
      </c>
      <c r="K185" s="90">
        <v>6</v>
      </c>
      <c r="L185" s="226"/>
      <c r="M185" s="226"/>
      <c r="N185" s="195">
        <f>ROUND(L185*K185,2)</f>
        <v>0</v>
      </c>
      <c r="O185" s="195"/>
      <c r="P185" s="195"/>
      <c r="Q185" s="195"/>
      <c r="R185" s="19"/>
    </row>
    <row r="186" spans="2:18" s="77" customFormat="1" ht="29.85" customHeight="1">
      <c r="B186" s="76"/>
      <c r="D186" s="86" t="s">
        <v>356</v>
      </c>
      <c r="E186" s="86"/>
      <c r="F186" s="86"/>
      <c r="G186" s="86"/>
      <c r="H186" s="86"/>
      <c r="I186" s="86"/>
      <c r="J186" s="86"/>
      <c r="K186" s="86"/>
      <c r="L186" s="86"/>
      <c r="M186" s="86"/>
      <c r="N186" s="202">
        <f>SUM(N187:Q191)</f>
        <v>0</v>
      </c>
      <c r="O186" s="203"/>
      <c r="P186" s="203"/>
      <c r="Q186" s="203"/>
      <c r="R186" s="79"/>
    </row>
    <row r="187" spans="2:18" s="16" customFormat="1" ht="16.5" customHeight="1">
      <c r="B187" s="17"/>
      <c r="C187" s="87">
        <f>+C185+1</f>
        <v>48</v>
      </c>
      <c r="D187" s="87" t="s">
        <v>116</v>
      </c>
      <c r="E187" s="88" t="s">
        <v>393</v>
      </c>
      <c r="F187" s="192" t="s">
        <v>394</v>
      </c>
      <c r="G187" s="192"/>
      <c r="H187" s="192"/>
      <c r="I187" s="192"/>
      <c r="J187" s="89" t="s">
        <v>119</v>
      </c>
      <c r="K187" s="90">
        <v>823</v>
      </c>
      <c r="L187" s="226"/>
      <c r="M187" s="226"/>
      <c r="N187" s="195">
        <f>ROUND(L187*K187,2)</f>
        <v>0</v>
      </c>
      <c r="O187" s="195"/>
      <c r="P187" s="195"/>
      <c r="Q187" s="195"/>
      <c r="R187" s="19"/>
    </row>
    <row r="188" spans="2:18" s="16" customFormat="1" ht="16.5" customHeight="1">
      <c r="B188" s="17"/>
      <c r="C188" s="87">
        <f>+C187+1</f>
        <v>49</v>
      </c>
      <c r="D188" s="87" t="s">
        <v>116</v>
      </c>
      <c r="E188" s="88" t="s">
        <v>395</v>
      </c>
      <c r="F188" s="192" t="s">
        <v>396</v>
      </c>
      <c r="G188" s="192"/>
      <c r="H188" s="192"/>
      <c r="I188" s="192"/>
      <c r="J188" s="89" t="s">
        <v>119</v>
      </c>
      <c r="K188" s="90">
        <v>53.04</v>
      </c>
      <c r="L188" s="226"/>
      <c r="M188" s="226"/>
      <c r="N188" s="195">
        <f>ROUND(L188*K188,2)</f>
        <v>0</v>
      </c>
      <c r="O188" s="195"/>
      <c r="P188" s="195"/>
      <c r="Q188" s="195"/>
      <c r="R188" s="19"/>
    </row>
    <row r="189" spans="2:18" s="16" customFormat="1" ht="38.25" customHeight="1">
      <c r="B189" s="17"/>
      <c r="C189" s="87">
        <f t="shared" ref="C189:C191" si="16">+C188+1</f>
        <v>50</v>
      </c>
      <c r="D189" s="87" t="s">
        <v>116</v>
      </c>
      <c r="E189" s="88" t="s">
        <v>397</v>
      </c>
      <c r="F189" s="192" t="s">
        <v>398</v>
      </c>
      <c r="G189" s="192"/>
      <c r="H189" s="192"/>
      <c r="I189" s="192"/>
      <c r="J189" s="89" t="s">
        <v>135</v>
      </c>
      <c r="K189" s="90">
        <v>1810.6</v>
      </c>
      <c r="L189" s="226"/>
      <c r="M189" s="226"/>
      <c r="N189" s="195">
        <f>ROUND(L189*K189,2)</f>
        <v>0</v>
      </c>
      <c r="O189" s="195"/>
      <c r="P189" s="195"/>
      <c r="Q189" s="195"/>
      <c r="R189" s="19"/>
    </row>
    <row r="190" spans="2:18" s="16" customFormat="1" ht="38.25" customHeight="1">
      <c r="B190" s="17"/>
      <c r="C190" s="87">
        <f t="shared" si="16"/>
        <v>51</v>
      </c>
      <c r="D190" s="87" t="s">
        <v>116</v>
      </c>
      <c r="E190" s="88" t="s">
        <v>399</v>
      </c>
      <c r="F190" s="192" t="s">
        <v>400</v>
      </c>
      <c r="G190" s="192"/>
      <c r="H190" s="192"/>
      <c r="I190" s="192"/>
      <c r="J190" s="89" t="s">
        <v>119</v>
      </c>
      <c r="K190" s="90">
        <v>130.761</v>
      </c>
      <c r="L190" s="226"/>
      <c r="M190" s="226"/>
      <c r="N190" s="195">
        <f>ROUND(L190*K190,2)</f>
        <v>0</v>
      </c>
      <c r="O190" s="195"/>
      <c r="P190" s="195"/>
      <c r="Q190" s="195"/>
      <c r="R190" s="19"/>
    </row>
    <row r="191" spans="2:18" s="16" customFormat="1" ht="25.5" customHeight="1">
      <c r="B191" s="17"/>
      <c r="C191" s="87">
        <f t="shared" si="16"/>
        <v>52</v>
      </c>
      <c r="D191" s="87" t="s">
        <v>116</v>
      </c>
      <c r="E191" s="88" t="s">
        <v>401</v>
      </c>
      <c r="F191" s="192" t="s">
        <v>402</v>
      </c>
      <c r="G191" s="192"/>
      <c r="H191" s="192"/>
      <c r="I191" s="192"/>
      <c r="J191" s="89" t="s">
        <v>261</v>
      </c>
      <c r="K191" s="3"/>
      <c r="L191" s="226"/>
      <c r="M191" s="226"/>
      <c r="N191" s="195">
        <f>ROUND(L191*K191,2)</f>
        <v>0</v>
      </c>
      <c r="O191" s="195"/>
      <c r="P191" s="195"/>
      <c r="Q191" s="195"/>
      <c r="R191" s="19"/>
    </row>
    <row r="192" spans="2:18" s="77" customFormat="1" ht="29.85" customHeight="1">
      <c r="B192" s="76"/>
      <c r="D192" s="86" t="s">
        <v>92</v>
      </c>
      <c r="E192" s="86"/>
      <c r="F192" s="86"/>
      <c r="G192" s="86"/>
      <c r="H192" s="86"/>
      <c r="I192" s="86"/>
      <c r="J192" s="86"/>
      <c r="K192" s="86"/>
      <c r="L192" s="86"/>
      <c r="M192" s="86"/>
      <c r="N192" s="202">
        <f>SUM(N193:Q201)</f>
        <v>0</v>
      </c>
      <c r="O192" s="203"/>
      <c r="P192" s="203"/>
      <c r="Q192" s="203"/>
      <c r="R192" s="79"/>
    </row>
    <row r="193" spans="2:18" s="16" customFormat="1" ht="29.25" customHeight="1">
      <c r="B193" s="17"/>
      <c r="C193" s="87">
        <f>+C191+1</f>
        <v>53</v>
      </c>
      <c r="D193" s="87" t="s">
        <v>116</v>
      </c>
      <c r="E193" s="88" t="s">
        <v>403</v>
      </c>
      <c r="F193" s="192" t="s">
        <v>638</v>
      </c>
      <c r="G193" s="192"/>
      <c r="H193" s="192"/>
      <c r="I193" s="192"/>
      <c r="J193" s="89" t="s">
        <v>142</v>
      </c>
      <c r="K193" s="90">
        <v>2</v>
      </c>
      <c r="L193" s="226"/>
      <c r="M193" s="226"/>
      <c r="N193" s="195">
        <f t="shared" ref="N193:N201" si="17">ROUND(L193*K193,2)</f>
        <v>0</v>
      </c>
      <c r="O193" s="195"/>
      <c r="P193" s="195"/>
      <c r="Q193" s="195"/>
      <c r="R193" s="19"/>
    </row>
    <row r="194" spans="2:18" s="16" customFormat="1" ht="51" customHeight="1">
      <c r="B194" s="17"/>
      <c r="C194" s="87" t="s">
        <v>632</v>
      </c>
      <c r="D194" s="87" t="s">
        <v>116</v>
      </c>
      <c r="E194" s="88" t="s">
        <v>636</v>
      </c>
      <c r="F194" s="192" t="s">
        <v>633</v>
      </c>
      <c r="G194" s="192"/>
      <c r="H194" s="192"/>
      <c r="I194" s="192"/>
      <c r="J194" s="89" t="s">
        <v>142</v>
      </c>
      <c r="K194" s="90">
        <v>2</v>
      </c>
      <c r="L194" s="226"/>
      <c r="M194" s="226"/>
      <c r="N194" s="195">
        <f t="shared" ref="N194" si="18">ROUND(L194*K194,2)</f>
        <v>0</v>
      </c>
      <c r="O194" s="195"/>
      <c r="P194" s="195"/>
      <c r="Q194" s="195"/>
      <c r="R194" s="19"/>
    </row>
    <row r="195" spans="2:18" s="16" customFormat="1" ht="36" customHeight="1">
      <c r="B195" s="17"/>
      <c r="C195" s="97" t="s">
        <v>634</v>
      </c>
      <c r="D195" s="97" t="s">
        <v>116</v>
      </c>
      <c r="E195" s="98" t="s">
        <v>637</v>
      </c>
      <c r="F195" s="198" t="s">
        <v>635</v>
      </c>
      <c r="G195" s="198"/>
      <c r="H195" s="198"/>
      <c r="I195" s="198"/>
      <c r="J195" s="99" t="s">
        <v>142</v>
      </c>
      <c r="K195" s="100">
        <v>2</v>
      </c>
      <c r="L195" s="226"/>
      <c r="M195" s="226"/>
      <c r="N195" s="199">
        <f t="shared" ref="N195" si="19">ROUND(L195*K195,2)</f>
        <v>0</v>
      </c>
      <c r="O195" s="195"/>
      <c r="P195" s="195"/>
      <c r="Q195" s="195"/>
      <c r="R195" s="19"/>
    </row>
    <row r="196" spans="2:18" s="16" customFormat="1" ht="25.5" customHeight="1">
      <c r="B196" s="17"/>
      <c r="C196" s="87">
        <f>+C193+1</f>
        <v>54</v>
      </c>
      <c r="D196" s="87" t="s">
        <v>116</v>
      </c>
      <c r="E196" s="88" t="s">
        <v>287</v>
      </c>
      <c r="F196" s="192" t="s">
        <v>288</v>
      </c>
      <c r="G196" s="192"/>
      <c r="H196" s="192"/>
      <c r="I196" s="192"/>
      <c r="J196" s="89" t="s">
        <v>135</v>
      </c>
      <c r="K196" s="90">
        <v>35.799999999999997</v>
      </c>
      <c r="L196" s="226"/>
      <c r="M196" s="226"/>
      <c r="N196" s="195">
        <f t="shared" si="17"/>
        <v>0</v>
      </c>
      <c r="O196" s="195"/>
      <c r="P196" s="195"/>
      <c r="Q196" s="195"/>
      <c r="R196" s="19"/>
    </row>
    <row r="197" spans="2:18" s="16" customFormat="1" ht="25.5" customHeight="1">
      <c r="B197" s="17"/>
      <c r="C197" s="87">
        <f t="shared" ref="C197:C200" si="20">+C196+1</f>
        <v>55</v>
      </c>
      <c r="D197" s="87" t="s">
        <v>116</v>
      </c>
      <c r="E197" s="88" t="s">
        <v>299</v>
      </c>
      <c r="F197" s="192" t="s">
        <v>300</v>
      </c>
      <c r="G197" s="192"/>
      <c r="H197" s="192"/>
      <c r="I197" s="192"/>
      <c r="J197" s="89" t="s">
        <v>135</v>
      </c>
      <c r="K197" s="90">
        <v>78</v>
      </c>
      <c r="L197" s="226"/>
      <c r="M197" s="226"/>
      <c r="N197" s="195">
        <f t="shared" si="17"/>
        <v>0</v>
      </c>
      <c r="O197" s="195"/>
      <c r="P197" s="195"/>
      <c r="Q197" s="195"/>
      <c r="R197" s="19"/>
    </row>
    <row r="198" spans="2:18" s="16" customFormat="1" ht="38.25" customHeight="1">
      <c r="B198" s="17"/>
      <c r="C198" s="87">
        <f t="shared" si="20"/>
        <v>56</v>
      </c>
      <c r="D198" s="87" t="s">
        <v>116</v>
      </c>
      <c r="E198" s="88" t="s">
        <v>404</v>
      </c>
      <c r="F198" s="192" t="s">
        <v>405</v>
      </c>
      <c r="G198" s="192"/>
      <c r="H198" s="192"/>
      <c r="I198" s="192"/>
      <c r="J198" s="89" t="s">
        <v>142</v>
      </c>
      <c r="K198" s="90">
        <v>23</v>
      </c>
      <c r="L198" s="226"/>
      <c r="M198" s="226"/>
      <c r="N198" s="195">
        <f t="shared" si="17"/>
        <v>0</v>
      </c>
      <c r="O198" s="195"/>
      <c r="P198" s="195"/>
      <c r="Q198" s="195"/>
      <c r="R198" s="19"/>
    </row>
    <row r="199" spans="2:18" s="16" customFormat="1" ht="38.25" customHeight="1">
      <c r="B199" s="17"/>
      <c r="C199" s="87">
        <f t="shared" si="20"/>
        <v>57</v>
      </c>
      <c r="D199" s="87" t="s">
        <v>116</v>
      </c>
      <c r="E199" s="88" t="s">
        <v>406</v>
      </c>
      <c r="F199" s="192" t="s">
        <v>627</v>
      </c>
      <c r="G199" s="192"/>
      <c r="H199" s="192"/>
      <c r="I199" s="192"/>
      <c r="J199" s="89" t="s">
        <v>135</v>
      </c>
      <c r="K199" s="90">
        <v>17.899999999999999</v>
      </c>
      <c r="L199" s="226"/>
      <c r="M199" s="226"/>
      <c r="N199" s="195">
        <f t="shared" si="17"/>
        <v>0</v>
      </c>
      <c r="O199" s="195"/>
      <c r="P199" s="195"/>
      <c r="Q199" s="195"/>
      <c r="R199" s="19"/>
    </row>
    <row r="200" spans="2:18" s="16" customFormat="1" ht="38.25" customHeight="1">
      <c r="B200" s="17"/>
      <c r="C200" s="87">
        <f t="shared" si="20"/>
        <v>58</v>
      </c>
      <c r="D200" s="87" t="s">
        <v>116</v>
      </c>
      <c r="E200" s="88" t="s">
        <v>407</v>
      </c>
      <c r="F200" s="192" t="s">
        <v>408</v>
      </c>
      <c r="G200" s="192"/>
      <c r="H200" s="192"/>
      <c r="I200" s="192"/>
      <c r="J200" s="89" t="s">
        <v>142</v>
      </c>
      <c r="K200" s="90">
        <v>21</v>
      </c>
      <c r="L200" s="226"/>
      <c r="M200" s="226"/>
      <c r="N200" s="195">
        <f t="shared" si="17"/>
        <v>0</v>
      </c>
      <c r="O200" s="195"/>
      <c r="P200" s="195"/>
      <c r="Q200" s="195"/>
      <c r="R200" s="19"/>
    </row>
    <row r="201" spans="2:18" s="16" customFormat="1" ht="25.5" customHeight="1">
      <c r="B201" s="17"/>
      <c r="C201" s="87">
        <f>+C200+1</f>
        <v>59</v>
      </c>
      <c r="D201" s="87" t="s">
        <v>116</v>
      </c>
      <c r="E201" s="88" t="s">
        <v>315</v>
      </c>
      <c r="F201" s="192" t="s">
        <v>316</v>
      </c>
      <c r="G201" s="192"/>
      <c r="H201" s="192"/>
      <c r="I201" s="192"/>
      <c r="J201" s="89" t="s">
        <v>261</v>
      </c>
      <c r="K201" s="3"/>
      <c r="L201" s="226"/>
      <c r="M201" s="226"/>
      <c r="N201" s="195">
        <f t="shared" si="17"/>
        <v>0</v>
      </c>
      <c r="O201" s="195"/>
      <c r="P201" s="195"/>
      <c r="Q201" s="195"/>
      <c r="R201" s="19"/>
    </row>
    <row r="202" spans="2:18" s="77" customFormat="1" ht="29.85" customHeight="1">
      <c r="B202" s="76"/>
      <c r="D202" s="86" t="s">
        <v>94</v>
      </c>
      <c r="E202" s="86"/>
      <c r="F202" s="86"/>
      <c r="G202" s="86"/>
      <c r="H202" s="86"/>
      <c r="I202" s="86"/>
      <c r="J202" s="86"/>
      <c r="K202" s="86"/>
      <c r="L202" s="86"/>
      <c r="M202" s="86"/>
      <c r="N202" s="202">
        <f>SUM(N203)</f>
        <v>0</v>
      </c>
      <c r="O202" s="203"/>
      <c r="P202" s="203"/>
      <c r="Q202" s="203"/>
      <c r="R202" s="79"/>
    </row>
    <row r="203" spans="2:18" s="16" customFormat="1" ht="38.25" customHeight="1">
      <c r="B203" s="17"/>
      <c r="C203" s="87">
        <f>+C201+1</f>
        <v>60</v>
      </c>
      <c r="D203" s="87" t="s">
        <v>116</v>
      </c>
      <c r="E203" s="88" t="s">
        <v>409</v>
      </c>
      <c r="F203" s="192" t="s">
        <v>481</v>
      </c>
      <c r="G203" s="192"/>
      <c r="H203" s="192"/>
      <c r="I203" s="192"/>
      <c r="J203" s="89" t="s">
        <v>142</v>
      </c>
      <c r="K203" s="90">
        <v>2</v>
      </c>
      <c r="L203" s="226"/>
      <c r="M203" s="226"/>
      <c r="N203" s="195">
        <f>ROUND(L203*K203,2)</f>
        <v>0</v>
      </c>
      <c r="O203" s="195"/>
      <c r="P203" s="195"/>
      <c r="Q203" s="195"/>
      <c r="R203" s="19"/>
    </row>
    <row r="204" spans="2:18" s="77" customFormat="1" ht="19.95" customHeight="1">
      <c r="B204" s="76"/>
      <c r="D204" s="86" t="s">
        <v>530</v>
      </c>
      <c r="E204" s="86"/>
      <c r="F204" s="86"/>
      <c r="G204" s="86"/>
      <c r="H204" s="86"/>
      <c r="I204" s="86"/>
      <c r="J204" s="86"/>
      <c r="K204" s="86"/>
      <c r="L204" s="86"/>
      <c r="M204" s="86"/>
      <c r="N204" s="200">
        <f>+N146+N126</f>
        <v>0</v>
      </c>
      <c r="O204" s="201"/>
      <c r="P204" s="201"/>
      <c r="Q204" s="201"/>
      <c r="R204" s="79"/>
    </row>
    <row r="205" spans="2:18" s="77" customFormat="1" ht="37.35" customHeight="1">
      <c r="B205" s="76"/>
      <c r="D205" s="78" t="s">
        <v>96</v>
      </c>
      <c r="E205" s="78"/>
      <c r="F205" s="78"/>
      <c r="G205" s="78"/>
      <c r="H205" s="78"/>
      <c r="I205" s="78"/>
      <c r="J205" s="78"/>
      <c r="K205" s="78"/>
      <c r="L205" s="78"/>
      <c r="M205" s="78"/>
      <c r="N205" s="196">
        <f>+N206+N208+N210+N212</f>
        <v>0</v>
      </c>
      <c r="O205" s="197"/>
      <c r="P205" s="197"/>
      <c r="Q205" s="197"/>
      <c r="R205" s="79"/>
    </row>
    <row r="206" spans="2:18" s="77" customFormat="1" ht="19.95" customHeight="1">
      <c r="B206" s="76"/>
      <c r="D206" s="86" t="s">
        <v>97</v>
      </c>
      <c r="E206" s="86"/>
      <c r="F206" s="86"/>
      <c r="G206" s="86"/>
      <c r="H206" s="86"/>
      <c r="I206" s="86"/>
      <c r="J206" s="86"/>
      <c r="K206" s="86"/>
      <c r="L206" s="86"/>
      <c r="M206" s="86"/>
      <c r="N206" s="200">
        <f>+N207</f>
        <v>0</v>
      </c>
      <c r="O206" s="201"/>
      <c r="P206" s="201"/>
      <c r="Q206" s="201"/>
      <c r="R206" s="79"/>
    </row>
    <row r="207" spans="2:18" s="16" customFormat="1" ht="16.5" customHeight="1">
      <c r="B207" s="17"/>
      <c r="C207" s="87">
        <f>+C203+1</f>
        <v>61</v>
      </c>
      <c r="D207" s="87" t="s">
        <v>116</v>
      </c>
      <c r="E207" s="88" t="s">
        <v>339</v>
      </c>
      <c r="F207" s="192" t="s">
        <v>340</v>
      </c>
      <c r="G207" s="192"/>
      <c r="H207" s="192"/>
      <c r="I207" s="192"/>
      <c r="J207" s="89" t="s">
        <v>261</v>
      </c>
      <c r="K207" s="3"/>
      <c r="L207" s="195">
        <f>+N204</f>
        <v>0</v>
      </c>
      <c r="M207" s="195"/>
      <c r="N207" s="195">
        <f>ROUND(L207*K207/100,2)</f>
        <v>0</v>
      </c>
      <c r="O207" s="195"/>
      <c r="P207" s="195"/>
      <c r="Q207" s="195"/>
      <c r="R207" s="19"/>
    </row>
    <row r="208" spans="2:18" s="77" customFormat="1" ht="29.85" customHeight="1">
      <c r="B208" s="76"/>
      <c r="D208" s="86" t="s">
        <v>98</v>
      </c>
      <c r="E208" s="86"/>
      <c r="F208" s="86"/>
      <c r="G208" s="86"/>
      <c r="H208" s="86"/>
      <c r="I208" s="86"/>
      <c r="J208" s="86"/>
      <c r="K208" s="86"/>
      <c r="L208" s="86"/>
      <c r="M208" s="86"/>
      <c r="N208" s="202">
        <f>+N209</f>
        <v>0</v>
      </c>
      <c r="O208" s="203"/>
      <c r="P208" s="203"/>
      <c r="Q208" s="203"/>
      <c r="R208" s="79"/>
    </row>
    <row r="209" spans="2:18" s="16" customFormat="1" ht="16.5" customHeight="1">
      <c r="B209" s="17"/>
      <c r="C209" s="87">
        <f>+C207+1</f>
        <v>62</v>
      </c>
      <c r="D209" s="87" t="s">
        <v>116</v>
      </c>
      <c r="E209" s="88" t="s">
        <v>343</v>
      </c>
      <c r="F209" s="192" t="s">
        <v>344</v>
      </c>
      <c r="G209" s="192"/>
      <c r="H209" s="192"/>
      <c r="I209" s="192"/>
      <c r="J209" s="89" t="s">
        <v>261</v>
      </c>
      <c r="K209" s="3"/>
      <c r="L209" s="195">
        <f>+N204</f>
        <v>0</v>
      </c>
      <c r="M209" s="195"/>
      <c r="N209" s="195">
        <f>ROUND(L209*K209/100,2)</f>
        <v>0</v>
      </c>
      <c r="O209" s="195"/>
      <c r="P209" s="195"/>
      <c r="Q209" s="195"/>
      <c r="R209" s="19"/>
    </row>
    <row r="210" spans="2:18" s="77" customFormat="1" ht="29.85" customHeight="1">
      <c r="B210" s="76"/>
      <c r="D210" s="86" t="s">
        <v>99</v>
      </c>
      <c r="E210" s="86"/>
      <c r="F210" s="86"/>
      <c r="G210" s="86"/>
      <c r="H210" s="86"/>
      <c r="I210" s="86"/>
      <c r="J210" s="86"/>
      <c r="K210" s="86"/>
      <c r="L210" s="86"/>
      <c r="M210" s="86"/>
      <c r="N210" s="202">
        <f>+N211</f>
        <v>0</v>
      </c>
      <c r="O210" s="203"/>
      <c r="P210" s="203"/>
      <c r="Q210" s="203"/>
      <c r="R210" s="79"/>
    </row>
    <row r="211" spans="2:18" s="16" customFormat="1" ht="16.5" customHeight="1">
      <c r="B211" s="17"/>
      <c r="C211" s="87">
        <f>+C209+1</f>
        <v>63</v>
      </c>
      <c r="D211" s="87" t="s">
        <v>116</v>
      </c>
      <c r="E211" s="88" t="s">
        <v>346</v>
      </c>
      <c r="F211" s="192" t="s">
        <v>347</v>
      </c>
      <c r="G211" s="192"/>
      <c r="H211" s="192"/>
      <c r="I211" s="192"/>
      <c r="J211" s="89" t="s">
        <v>261</v>
      </c>
      <c r="K211" s="3"/>
      <c r="L211" s="195">
        <f>+N204</f>
        <v>0</v>
      </c>
      <c r="M211" s="195"/>
      <c r="N211" s="195">
        <f>ROUND(L211*K211/100,2)</f>
        <v>0</v>
      </c>
      <c r="O211" s="195"/>
      <c r="P211" s="195"/>
      <c r="Q211" s="195"/>
      <c r="R211" s="19"/>
    </row>
    <row r="212" spans="2:18" s="77" customFormat="1" ht="29.85" customHeight="1">
      <c r="B212" s="76"/>
      <c r="D212" s="86" t="s">
        <v>100</v>
      </c>
      <c r="E212" s="86"/>
      <c r="F212" s="86"/>
      <c r="G212" s="86"/>
      <c r="H212" s="86"/>
      <c r="I212" s="86"/>
      <c r="J212" s="86"/>
      <c r="K212" s="86"/>
      <c r="L212" s="86"/>
      <c r="M212" s="86"/>
      <c r="N212" s="202">
        <f>+N213</f>
        <v>0</v>
      </c>
      <c r="O212" s="203"/>
      <c r="P212" s="203"/>
      <c r="Q212" s="203"/>
      <c r="R212" s="79"/>
    </row>
    <row r="213" spans="2:18" s="16" customFormat="1" ht="16.5" customHeight="1">
      <c r="B213" s="17"/>
      <c r="C213" s="87">
        <f>+C211+1</f>
        <v>64</v>
      </c>
      <c r="D213" s="87" t="s">
        <v>116</v>
      </c>
      <c r="E213" s="88" t="s">
        <v>349</v>
      </c>
      <c r="F213" s="192" t="s">
        <v>350</v>
      </c>
      <c r="G213" s="192"/>
      <c r="H213" s="192"/>
      <c r="I213" s="192"/>
      <c r="J213" s="89" t="s">
        <v>261</v>
      </c>
      <c r="K213" s="3"/>
      <c r="L213" s="195">
        <f>+N204</f>
        <v>0</v>
      </c>
      <c r="M213" s="195"/>
      <c r="N213" s="195">
        <f>ROUND(L213*K213/100,2)</f>
        <v>0</v>
      </c>
      <c r="O213" s="195"/>
      <c r="P213" s="195"/>
      <c r="Q213" s="195"/>
      <c r="R213" s="19"/>
    </row>
    <row r="214" spans="2:18" s="16" customFormat="1" ht="6.9" customHeight="1">
      <c r="B214" s="42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4"/>
    </row>
  </sheetData>
  <sheetProtection algorithmName="SHA-512" hashValue="+gqmEWKZ0SZm/GZGJJafKdAUuubIB0APmXAfm84Vr7Cxrpa6EwpIpbN100V96BTlamhbqYDGuHvaUjdvciLJ5A==" saltValue="G0QVJMzj7iFk7oRs9QUyxA==" spinCount="100000" sheet="1" objects="1" scenarios="1" selectLockedCells="1"/>
  <mergeCells count="290">
    <mergeCell ref="C2:Q2"/>
    <mergeCell ref="C4:Q4"/>
    <mergeCell ref="F6:P6"/>
    <mergeCell ref="F7:P7"/>
    <mergeCell ref="O11:P11"/>
    <mergeCell ref="O12:P12"/>
    <mergeCell ref="E15:L15"/>
    <mergeCell ref="O14:R14"/>
    <mergeCell ref="O15:R15"/>
    <mergeCell ref="O9:R9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E21:L21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N98:Q98"/>
    <mergeCell ref="N99:Q99"/>
    <mergeCell ref="N100:Q100"/>
    <mergeCell ref="N101:Q101"/>
    <mergeCell ref="N102:Q102"/>
    <mergeCell ref="N103:Q103"/>
    <mergeCell ref="N104:Q104"/>
    <mergeCell ref="N106:Q106"/>
    <mergeCell ref="L108:Q108"/>
    <mergeCell ref="C114:Q114"/>
    <mergeCell ref="F116:P116"/>
    <mergeCell ref="F117:P117"/>
    <mergeCell ref="M119:P119"/>
    <mergeCell ref="M121:Q121"/>
    <mergeCell ref="M122:Q122"/>
    <mergeCell ref="F124:I124"/>
    <mergeCell ref="L124:M124"/>
    <mergeCell ref="N124:Q124"/>
    <mergeCell ref="F128:I128"/>
    <mergeCell ref="L128:M128"/>
    <mergeCell ref="N128:Q128"/>
    <mergeCell ref="F129:I129"/>
    <mergeCell ref="L129:M129"/>
    <mergeCell ref="N129:Q129"/>
    <mergeCell ref="F130:I130"/>
    <mergeCell ref="L130:M130"/>
    <mergeCell ref="N130:Q130"/>
    <mergeCell ref="L138:M138"/>
    <mergeCell ref="N138:Q138"/>
    <mergeCell ref="F139:I139"/>
    <mergeCell ref="L139:M139"/>
    <mergeCell ref="N139:Q139"/>
    <mergeCell ref="F140:I140"/>
    <mergeCell ref="L140:M140"/>
    <mergeCell ref="N140:Q140"/>
    <mergeCell ref="F141:I141"/>
    <mergeCell ref="N141:Q141"/>
    <mergeCell ref="L141:M141"/>
    <mergeCell ref="F132:I132"/>
    <mergeCell ref="L132:M132"/>
    <mergeCell ref="N132:Q132"/>
    <mergeCell ref="F133:I133"/>
    <mergeCell ref="L133:M133"/>
    <mergeCell ref="N133:Q133"/>
    <mergeCell ref="F135:I135"/>
    <mergeCell ref="L135:M135"/>
    <mergeCell ref="N135:Q135"/>
    <mergeCell ref="L159:M159"/>
    <mergeCell ref="N159:Q159"/>
    <mergeCell ref="F154:I154"/>
    <mergeCell ref="L154:M154"/>
    <mergeCell ref="N154:Q154"/>
    <mergeCell ref="F150:I150"/>
    <mergeCell ref="L150:M150"/>
    <mergeCell ref="N150:Q150"/>
    <mergeCell ref="F152:I152"/>
    <mergeCell ref="L152:M152"/>
    <mergeCell ref="N152:Q152"/>
    <mergeCell ref="F151:I151"/>
    <mergeCell ref="L151:M151"/>
    <mergeCell ref="N151:Q151"/>
    <mergeCell ref="F156:I156"/>
    <mergeCell ref="L156:M156"/>
    <mergeCell ref="N156:Q156"/>
    <mergeCell ref="F158:I158"/>
    <mergeCell ref="L158:M158"/>
    <mergeCell ref="N158:Q158"/>
    <mergeCell ref="N157:Q157"/>
    <mergeCell ref="L162:M162"/>
    <mergeCell ref="N162:Q162"/>
    <mergeCell ref="F163:I163"/>
    <mergeCell ref="L163:M163"/>
    <mergeCell ref="N163:Q163"/>
    <mergeCell ref="F142:I142"/>
    <mergeCell ref="L142:M142"/>
    <mergeCell ref="N142:Q142"/>
    <mergeCell ref="F143:I143"/>
    <mergeCell ref="L143:M143"/>
    <mergeCell ref="N143:Q143"/>
    <mergeCell ref="F161:I161"/>
    <mergeCell ref="L161:M161"/>
    <mergeCell ref="N161:Q161"/>
    <mergeCell ref="F153:I153"/>
    <mergeCell ref="L153:M153"/>
    <mergeCell ref="N153:Q153"/>
    <mergeCell ref="F155:I155"/>
    <mergeCell ref="L155:M155"/>
    <mergeCell ref="N155:Q155"/>
    <mergeCell ref="F160:I160"/>
    <mergeCell ref="L160:M160"/>
    <mergeCell ref="N160:Q160"/>
    <mergeCell ref="F159:I159"/>
    <mergeCell ref="N171:Q171"/>
    <mergeCell ref="F172:I172"/>
    <mergeCell ref="L172:M172"/>
    <mergeCell ref="N172:Q172"/>
    <mergeCell ref="N170:Q170"/>
    <mergeCell ref="F173:I173"/>
    <mergeCell ref="L173:M173"/>
    <mergeCell ref="N173:Q173"/>
    <mergeCell ref="F174:I174"/>
    <mergeCell ref="L174:M174"/>
    <mergeCell ref="F187:I187"/>
    <mergeCell ref="L187:M187"/>
    <mergeCell ref="N187:Q187"/>
    <mergeCell ref="F188:I188"/>
    <mergeCell ref="L188:M188"/>
    <mergeCell ref="N188:Q188"/>
    <mergeCell ref="N174:Q174"/>
    <mergeCell ref="F175:I175"/>
    <mergeCell ref="L175:M175"/>
    <mergeCell ref="N175:Q175"/>
    <mergeCell ref="F176:I176"/>
    <mergeCell ref="L176:M176"/>
    <mergeCell ref="N176:Q176"/>
    <mergeCell ref="F178:I178"/>
    <mergeCell ref="L178:M178"/>
    <mergeCell ref="N178:Q178"/>
    <mergeCell ref="F179:I179"/>
    <mergeCell ref="L179:M179"/>
    <mergeCell ref="N179:Q179"/>
    <mergeCell ref="N177:Q177"/>
    <mergeCell ref="F211:I211"/>
    <mergeCell ref="L211:M211"/>
    <mergeCell ref="N211:Q211"/>
    <mergeCell ref="N212:Q212"/>
    <mergeCell ref="F213:I213"/>
    <mergeCell ref="L213:M213"/>
    <mergeCell ref="N213:Q213"/>
    <mergeCell ref="F193:I193"/>
    <mergeCell ref="L193:M193"/>
    <mergeCell ref="N193:Q193"/>
    <mergeCell ref="F196:I196"/>
    <mergeCell ref="L196:M196"/>
    <mergeCell ref="N196:Q196"/>
    <mergeCell ref="F197:I197"/>
    <mergeCell ref="L197:M197"/>
    <mergeCell ref="N197:Q197"/>
    <mergeCell ref="L199:M199"/>
    <mergeCell ref="N199:Q199"/>
    <mergeCell ref="F200:I200"/>
    <mergeCell ref="L200:M200"/>
    <mergeCell ref="N200:Q200"/>
    <mergeCell ref="F209:I209"/>
    <mergeCell ref="L209:M209"/>
    <mergeCell ref="N209:Q209"/>
    <mergeCell ref="N210:Q210"/>
    <mergeCell ref="H1:K1"/>
    <mergeCell ref="F149:I149"/>
    <mergeCell ref="L149:M149"/>
    <mergeCell ref="N149:Q149"/>
    <mergeCell ref="N125:Q125"/>
    <mergeCell ref="N126:Q126"/>
    <mergeCell ref="N127:Q127"/>
    <mergeCell ref="N131:Q131"/>
    <mergeCell ref="N134:Q134"/>
    <mergeCell ref="N136:Q136"/>
    <mergeCell ref="N144:Q144"/>
    <mergeCell ref="N146:Q146"/>
    <mergeCell ref="N147:Q147"/>
    <mergeCell ref="F148:I148"/>
    <mergeCell ref="L148:M148"/>
    <mergeCell ref="N148:Q148"/>
    <mergeCell ref="F145:I145"/>
    <mergeCell ref="L145:M145"/>
    <mergeCell ref="N145:Q145"/>
    <mergeCell ref="F137:I137"/>
    <mergeCell ref="L137:M137"/>
    <mergeCell ref="N137:Q137"/>
    <mergeCell ref="F138:I138"/>
    <mergeCell ref="F164:I164"/>
    <mergeCell ref="L164:M164"/>
    <mergeCell ref="N164:Q164"/>
    <mergeCell ref="F165:I165"/>
    <mergeCell ref="L165:M165"/>
    <mergeCell ref="N165:Q165"/>
    <mergeCell ref="F162:I162"/>
    <mergeCell ref="F181:I181"/>
    <mergeCell ref="L181:M181"/>
    <mergeCell ref="N181:Q181"/>
    <mergeCell ref="F168:I168"/>
    <mergeCell ref="L168:M168"/>
    <mergeCell ref="N168:Q168"/>
    <mergeCell ref="F166:I166"/>
    <mergeCell ref="L166:M166"/>
    <mergeCell ref="N166:Q166"/>
    <mergeCell ref="F167:I167"/>
    <mergeCell ref="L167:M167"/>
    <mergeCell ref="N167:Q167"/>
    <mergeCell ref="F169:I169"/>
    <mergeCell ref="L169:M169"/>
    <mergeCell ref="N169:Q169"/>
    <mergeCell ref="F171:I171"/>
    <mergeCell ref="L171:M171"/>
    <mergeCell ref="N205:Q205"/>
    <mergeCell ref="N206:Q206"/>
    <mergeCell ref="F207:I207"/>
    <mergeCell ref="L207:M207"/>
    <mergeCell ref="N207:Q207"/>
    <mergeCell ref="N208:Q208"/>
    <mergeCell ref="N204:Q204"/>
    <mergeCell ref="N184:Q184"/>
    <mergeCell ref="N186:Q186"/>
    <mergeCell ref="N192:Q192"/>
    <mergeCell ref="N202:Q202"/>
    <mergeCell ref="F201:I201"/>
    <mergeCell ref="L201:M201"/>
    <mergeCell ref="N201:Q201"/>
    <mergeCell ref="F203:I203"/>
    <mergeCell ref="L203:M203"/>
    <mergeCell ref="N203:Q203"/>
    <mergeCell ref="F198:I198"/>
    <mergeCell ref="L198:M198"/>
    <mergeCell ref="N198:Q198"/>
    <mergeCell ref="F199:I199"/>
    <mergeCell ref="F189:I189"/>
    <mergeCell ref="L189:M189"/>
    <mergeCell ref="N189:Q189"/>
    <mergeCell ref="F194:I194"/>
    <mergeCell ref="L194:M194"/>
    <mergeCell ref="N194:Q194"/>
    <mergeCell ref="F195:I195"/>
    <mergeCell ref="L195:M195"/>
    <mergeCell ref="N195:Q195"/>
    <mergeCell ref="F180:I180"/>
    <mergeCell ref="L180:M180"/>
    <mergeCell ref="N180:Q180"/>
    <mergeCell ref="F183:I183"/>
    <mergeCell ref="L183:M183"/>
    <mergeCell ref="N183:Q183"/>
    <mergeCell ref="F182:I182"/>
    <mergeCell ref="L182:M182"/>
    <mergeCell ref="N182:Q182"/>
    <mergeCell ref="F190:I190"/>
    <mergeCell ref="L190:M190"/>
    <mergeCell ref="N190:Q190"/>
    <mergeCell ref="F191:I191"/>
    <mergeCell ref="L191:M191"/>
    <mergeCell ref="N191:Q191"/>
    <mergeCell ref="F185:I185"/>
    <mergeCell ref="L185:M185"/>
    <mergeCell ref="N185:Q185"/>
  </mergeCells>
  <hyperlinks>
    <hyperlink ref="F1:G1" location="C2" display="1) Krycí list rozpočtu" xr:uid="{00000000-0004-0000-0200-000000000000}"/>
    <hyperlink ref="H1:K1" location="C86" display="2) Rekapitulace rozpočtu" xr:uid="{00000000-0004-0000-0200-000001000000}"/>
    <hyperlink ref="L1" location="C124" display="3) Rozpočet" xr:uid="{00000000-0004-0000-0200-000002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Y180"/>
  <sheetViews>
    <sheetView showGridLines="0" workbookViewId="0">
      <pane ySplit="1" topLeftCell="A135" activePane="bottomLeft" state="frozen"/>
      <selection pane="bottomLeft" activeCell="K139" sqref="K139"/>
    </sheetView>
  </sheetViews>
  <sheetFormatPr defaultColWidth="9.28515625" defaultRowHeight="12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7" width="11.140625" customWidth="1"/>
    <col min="8" max="8" width="12.42578125" customWidth="1"/>
    <col min="9" max="9" width="7" customWidth="1"/>
    <col min="10" max="10" width="5.140625" customWidth="1"/>
    <col min="11" max="11" width="11.42578125" customWidth="1"/>
    <col min="12" max="12" width="12" customWidth="1"/>
    <col min="13" max="14" width="6" customWidth="1"/>
    <col min="15" max="15" width="2" customWidth="1"/>
    <col min="16" max="16" width="12.42578125" customWidth="1"/>
    <col min="17" max="17" width="4.140625" customWidth="1"/>
    <col min="18" max="18" width="1.7109375" customWidth="1"/>
  </cols>
  <sheetData>
    <row r="1" spans="1:18" ht="21.75" customHeight="1">
      <c r="A1" s="4"/>
      <c r="B1" s="5"/>
      <c r="C1" s="5"/>
      <c r="D1" s="6" t="s">
        <v>1</v>
      </c>
      <c r="E1" s="5"/>
      <c r="F1" s="1" t="s">
        <v>62</v>
      </c>
      <c r="G1" s="1"/>
      <c r="H1" s="204" t="s">
        <v>63</v>
      </c>
      <c r="I1" s="204"/>
      <c r="J1" s="204"/>
      <c r="K1" s="204"/>
      <c r="L1" s="1" t="s">
        <v>64</v>
      </c>
      <c r="M1" s="5"/>
      <c r="N1" s="5"/>
      <c r="O1" s="6" t="s">
        <v>65</v>
      </c>
      <c r="P1" s="5"/>
      <c r="Q1" s="5"/>
      <c r="R1" s="5"/>
    </row>
    <row r="2" spans="1:18" ht="36.9" customHeight="1">
      <c r="C2" s="160" t="s">
        <v>6</v>
      </c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</row>
    <row r="3" spans="1:18" ht="6.9" customHeight="1"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1"/>
    </row>
    <row r="4" spans="1:18" ht="36.9" customHeight="1">
      <c r="B4" s="13"/>
      <c r="C4" s="162" t="s">
        <v>68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4"/>
    </row>
    <row r="5" spans="1:18" ht="6.9" customHeight="1">
      <c r="B5" s="13"/>
      <c r="R5" s="14"/>
    </row>
    <row r="6" spans="1:18" ht="25.35" customHeight="1">
      <c r="B6" s="13"/>
      <c r="D6" s="15" t="s">
        <v>12</v>
      </c>
      <c r="F6" s="217" t="str">
        <f>'Rekapitulace stavby'!K6</f>
        <v>Revitalizace objektu MŠ-Srdíčko v Praze 12</v>
      </c>
      <c r="G6" s="218"/>
      <c r="H6" s="218"/>
      <c r="I6" s="218"/>
      <c r="J6" s="218"/>
      <c r="K6" s="218"/>
      <c r="L6" s="218"/>
      <c r="M6" s="218"/>
      <c r="N6" s="218"/>
      <c r="O6" s="218"/>
      <c r="P6" s="218"/>
      <c r="R6" s="14"/>
    </row>
    <row r="7" spans="1:18" s="16" customFormat="1" ht="32.85" customHeight="1">
      <c r="B7" s="17"/>
      <c r="D7" s="18" t="s">
        <v>69</v>
      </c>
      <c r="F7" s="165" t="s">
        <v>60</v>
      </c>
      <c r="G7" s="216"/>
      <c r="H7" s="216"/>
      <c r="I7" s="216"/>
      <c r="J7" s="216"/>
      <c r="K7" s="216"/>
      <c r="L7" s="216"/>
      <c r="M7" s="216"/>
      <c r="N7" s="216"/>
      <c r="O7" s="216"/>
      <c r="P7" s="216"/>
      <c r="R7" s="19"/>
    </row>
    <row r="8" spans="1:18" s="16" customFormat="1" ht="14.4" customHeight="1">
      <c r="B8" s="17"/>
      <c r="D8" s="15" t="s">
        <v>14</v>
      </c>
      <c r="F8" s="20" t="s">
        <v>4</v>
      </c>
      <c r="M8" s="15" t="s">
        <v>15</v>
      </c>
      <c r="O8" s="20" t="s">
        <v>4</v>
      </c>
      <c r="R8" s="19"/>
    </row>
    <row r="9" spans="1:18" s="16" customFormat="1" ht="14.4" customHeight="1">
      <c r="B9" s="17"/>
      <c r="D9" s="15" t="s">
        <v>16</v>
      </c>
      <c r="F9" s="20" t="s">
        <v>17</v>
      </c>
      <c r="M9" s="15" t="s">
        <v>18</v>
      </c>
      <c r="O9" s="167" t="s">
        <v>618</v>
      </c>
      <c r="P9" s="167"/>
      <c r="Q9" s="167"/>
      <c r="R9" s="168"/>
    </row>
    <row r="10" spans="1:18" s="16" customFormat="1" ht="10.95" customHeight="1">
      <c r="B10" s="17"/>
      <c r="R10" s="19"/>
    </row>
    <row r="11" spans="1:18" s="16" customFormat="1" ht="14.4" customHeight="1">
      <c r="B11" s="17"/>
      <c r="D11" s="15" t="s">
        <v>19</v>
      </c>
      <c r="M11" s="15" t="s">
        <v>20</v>
      </c>
      <c r="O11" s="164" t="s">
        <v>4</v>
      </c>
      <c r="P11" s="164"/>
      <c r="R11" s="19"/>
    </row>
    <row r="12" spans="1:18" s="16" customFormat="1" ht="18" customHeight="1">
      <c r="B12" s="17"/>
      <c r="E12" s="20" t="s">
        <v>21</v>
      </c>
      <c r="M12" s="15" t="s">
        <v>22</v>
      </c>
      <c r="O12" s="164" t="s">
        <v>4</v>
      </c>
      <c r="P12" s="164"/>
      <c r="R12" s="19"/>
    </row>
    <row r="13" spans="1:18" s="16" customFormat="1" ht="6.9" customHeight="1">
      <c r="B13" s="17"/>
      <c r="R13" s="19"/>
    </row>
    <row r="14" spans="1:18" s="16" customFormat="1" ht="14.4" customHeight="1">
      <c r="B14" s="17"/>
      <c r="D14" s="15" t="s">
        <v>23</v>
      </c>
      <c r="M14" s="15" t="s">
        <v>20</v>
      </c>
      <c r="O14" s="167" t="s">
        <v>618</v>
      </c>
      <c r="P14" s="167"/>
      <c r="Q14" s="167"/>
      <c r="R14" s="168"/>
    </row>
    <row r="15" spans="1:18" s="16" customFormat="1" ht="18" customHeight="1">
      <c r="B15" s="17"/>
      <c r="E15" s="166" t="s">
        <v>618</v>
      </c>
      <c r="F15" s="166"/>
      <c r="G15" s="166"/>
      <c r="H15" s="166"/>
      <c r="I15" s="166"/>
      <c r="J15" s="166"/>
      <c r="K15" s="166"/>
      <c r="L15" s="166"/>
      <c r="M15" s="15" t="s">
        <v>22</v>
      </c>
      <c r="O15" s="167" t="s">
        <v>618</v>
      </c>
      <c r="P15" s="167"/>
      <c r="Q15" s="167"/>
      <c r="R15" s="168"/>
    </row>
    <row r="16" spans="1:18" s="16" customFormat="1" ht="6.9" customHeight="1">
      <c r="B16" s="17"/>
      <c r="R16" s="19"/>
    </row>
    <row r="17" spans="2:18" s="16" customFormat="1" ht="14.4" customHeight="1">
      <c r="B17" s="17"/>
      <c r="D17" s="15" t="s">
        <v>24</v>
      </c>
      <c r="M17" s="15" t="s">
        <v>20</v>
      </c>
      <c r="O17" s="164" t="s">
        <v>4</v>
      </c>
      <c r="P17" s="164"/>
      <c r="R17" s="19"/>
    </row>
    <row r="18" spans="2:18" s="16" customFormat="1" ht="18" customHeight="1">
      <c r="B18" s="17"/>
      <c r="E18" s="20" t="s">
        <v>25</v>
      </c>
      <c r="M18" s="15" t="s">
        <v>22</v>
      </c>
      <c r="O18" s="164" t="s">
        <v>4</v>
      </c>
      <c r="P18" s="164"/>
      <c r="R18" s="19"/>
    </row>
    <row r="19" spans="2:18" s="16" customFormat="1" ht="6.9" customHeight="1">
      <c r="B19" s="17"/>
      <c r="R19" s="19"/>
    </row>
    <row r="20" spans="2:18" s="16" customFormat="1" ht="14.4" customHeight="1">
      <c r="B20" s="17"/>
      <c r="D20" s="15" t="s">
        <v>26</v>
      </c>
      <c r="M20" s="15" t="s">
        <v>20</v>
      </c>
      <c r="O20" s="164" t="s">
        <v>4</v>
      </c>
      <c r="P20" s="164"/>
      <c r="R20" s="19"/>
    </row>
    <row r="21" spans="2:18" s="16" customFormat="1" ht="18" customHeight="1">
      <c r="B21" s="17"/>
      <c r="E21" s="166" t="s">
        <v>618</v>
      </c>
      <c r="F21" s="166"/>
      <c r="G21" s="166"/>
      <c r="H21" s="166"/>
      <c r="I21" s="166"/>
      <c r="J21" s="166"/>
      <c r="K21" s="166"/>
      <c r="L21" s="166"/>
      <c r="M21" s="15" t="s">
        <v>22</v>
      </c>
      <c r="O21" s="164" t="s">
        <v>4</v>
      </c>
      <c r="P21" s="164"/>
      <c r="R21" s="19"/>
    </row>
    <row r="22" spans="2:18" s="16" customFormat="1" ht="6.9" customHeight="1">
      <c r="B22" s="17"/>
      <c r="R22" s="19"/>
    </row>
    <row r="23" spans="2:18" s="16" customFormat="1" ht="14.4" customHeight="1">
      <c r="B23" s="17"/>
      <c r="D23" s="15" t="s">
        <v>27</v>
      </c>
      <c r="R23" s="19"/>
    </row>
    <row r="24" spans="2:18" s="16" customFormat="1" ht="16.5" customHeight="1">
      <c r="B24" s="17"/>
      <c r="E24" s="169" t="s">
        <v>4</v>
      </c>
      <c r="F24" s="169"/>
      <c r="G24" s="169"/>
      <c r="H24" s="169"/>
      <c r="I24" s="169"/>
      <c r="J24" s="169"/>
      <c r="K24" s="169"/>
      <c r="L24" s="169"/>
      <c r="R24" s="19"/>
    </row>
    <row r="25" spans="2:18" s="16" customFormat="1" ht="6.9" customHeight="1">
      <c r="B25" s="17"/>
      <c r="R25" s="19"/>
    </row>
    <row r="26" spans="2:18" s="16" customFormat="1" ht="6.9" customHeight="1">
      <c r="B26" s="17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R26" s="19"/>
    </row>
    <row r="27" spans="2:18" s="16" customFormat="1" ht="14.4" customHeight="1">
      <c r="B27" s="17"/>
      <c r="D27" s="23" t="s">
        <v>72</v>
      </c>
      <c r="M27" s="156">
        <f>N88</f>
        <v>0</v>
      </c>
      <c r="N27" s="156"/>
      <c r="O27" s="156"/>
      <c r="P27" s="156"/>
      <c r="R27" s="19"/>
    </row>
    <row r="28" spans="2:18" s="16" customFormat="1" ht="14.4" customHeight="1">
      <c r="B28" s="17"/>
      <c r="D28" s="116" t="s">
        <v>73</v>
      </c>
      <c r="M28" s="156">
        <f>N103</f>
        <v>0</v>
      </c>
      <c r="N28" s="156"/>
      <c r="O28" s="156"/>
      <c r="P28" s="156"/>
      <c r="R28" s="19"/>
    </row>
    <row r="29" spans="2:18" s="16" customFormat="1" ht="6.9" customHeight="1">
      <c r="B29" s="17"/>
      <c r="R29" s="19"/>
    </row>
    <row r="30" spans="2:18" s="16" customFormat="1" ht="25.35" customHeight="1">
      <c r="B30" s="17"/>
      <c r="D30" s="25" t="s">
        <v>30</v>
      </c>
      <c r="M30" s="225">
        <f>ROUND(M27+M28,2)</f>
        <v>0</v>
      </c>
      <c r="N30" s="216"/>
      <c r="O30" s="216"/>
      <c r="P30" s="216"/>
      <c r="R30" s="19"/>
    </row>
    <row r="31" spans="2:18" s="16" customFormat="1" ht="6.9" customHeight="1">
      <c r="B31" s="17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R31" s="19"/>
    </row>
    <row r="32" spans="2:18" s="16" customFormat="1" ht="14.4" customHeight="1">
      <c r="B32" s="17"/>
      <c r="D32" s="26" t="s">
        <v>31</v>
      </c>
      <c r="E32" s="26" t="s">
        <v>32</v>
      </c>
      <c r="F32" s="27">
        <v>0.21</v>
      </c>
      <c r="G32" s="28" t="s">
        <v>33</v>
      </c>
      <c r="H32" s="222">
        <f>+M30</f>
        <v>0</v>
      </c>
      <c r="I32" s="216"/>
      <c r="J32" s="216"/>
      <c r="M32" s="222">
        <f>0.21*H32</f>
        <v>0</v>
      </c>
      <c r="N32" s="216"/>
      <c r="O32" s="216"/>
      <c r="P32" s="216"/>
      <c r="R32" s="19"/>
    </row>
    <row r="33" spans="2:18" s="16" customFormat="1" ht="14.4" customHeight="1">
      <c r="B33" s="17"/>
      <c r="E33" s="26" t="s">
        <v>34</v>
      </c>
      <c r="F33" s="27">
        <v>0.15</v>
      </c>
      <c r="G33" s="28" t="s">
        <v>33</v>
      </c>
      <c r="H33" s="222"/>
      <c r="I33" s="216"/>
      <c r="J33" s="216"/>
      <c r="M33" s="222"/>
      <c r="N33" s="216"/>
      <c r="O33" s="216"/>
      <c r="P33" s="216"/>
      <c r="R33" s="19"/>
    </row>
    <row r="34" spans="2:18" s="16" customFormat="1" ht="14.4" hidden="1" customHeight="1">
      <c r="B34" s="17"/>
      <c r="E34" s="26" t="s">
        <v>35</v>
      </c>
      <c r="F34" s="27">
        <v>0.21</v>
      </c>
      <c r="G34" s="28" t="s">
        <v>33</v>
      </c>
      <c r="H34" s="222" t="e">
        <f>ROUND((SUM(#REF!)+SUM(#REF!)), 2)</f>
        <v>#REF!</v>
      </c>
      <c r="I34" s="216"/>
      <c r="J34" s="216"/>
      <c r="M34" s="222">
        <v>0</v>
      </c>
      <c r="N34" s="216"/>
      <c r="O34" s="216"/>
      <c r="P34" s="216"/>
      <c r="R34" s="19"/>
    </row>
    <row r="35" spans="2:18" s="16" customFormat="1" ht="14.4" hidden="1" customHeight="1">
      <c r="B35" s="17"/>
      <c r="E35" s="26" t="s">
        <v>36</v>
      </c>
      <c r="F35" s="27">
        <v>0.15</v>
      </c>
      <c r="G35" s="28" t="s">
        <v>33</v>
      </c>
      <c r="H35" s="222" t="e">
        <f>ROUND((SUM(#REF!)+SUM(#REF!)), 2)</f>
        <v>#REF!</v>
      </c>
      <c r="I35" s="216"/>
      <c r="J35" s="216"/>
      <c r="M35" s="222">
        <v>0</v>
      </c>
      <c r="N35" s="216"/>
      <c r="O35" s="216"/>
      <c r="P35" s="216"/>
      <c r="R35" s="19"/>
    </row>
    <row r="36" spans="2:18" s="16" customFormat="1" ht="14.4" hidden="1" customHeight="1">
      <c r="B36" s="17"/>
      <c r="E36" s="26" t="s">
        <v>37</v>
      </c>
      <c r="F36" s="27">
        <v>0</v>
      </c>
      <c r="G36" s="28" t="s">
        <v>33</v>
      </c>
      <c r="H36" s="222" t="e">
        <f>ROUND((SUM(#REF!)+SUM(#REF!)), 2)</f>
        <v>#REF!</v>
      </c>
      <c r="I36" s="216"/>
      <c r="J36" s="216"/>
      <c r="M36" s="222">
        <v>0</v>
      </c>
      <c r="N36" s="216"/>
      <c r="O36" s="216"/>
      <c r="P36" s="216"/>
      <c r="R36" s="19"/>
    </row>
    <row r="37" spans="2:18" s="16" customFormat="1" ht="6.9" customHeight="1">
      <c r="B37" s="17"/>
      <c r="R37" s="19"/>
    </row>
    <row r="38" spans="2:18" s="16" customFormat="1" ht="25.35" customHeight="1">
      <c r="B38" s="17"/>
      <c r="C38" s="29"/>
      <c r="D38" s="30" t="s">
        <v>38</v>
      </c>
      <c r="E38" s="31"/>
      <c r="F38" s="31"/>
      <c r="G38" s="32" t="s">
        <v>39</v>
      </c>
      <c r="H38" s="33" t="s">
        <v>40</v>
      </c>
      <c r="I38" s="31"/>
      <c r="J38" s="31"/>
      <c r="K38" s="31"/>
      <c r="L38" s="223">
        <f>+H32+M32</f>
        <v>0</v>
      </c>
      <c r="M38" s="223"/>
      <c r="N38" s="223"/>
      <c r="O38" s="223"/>
      <c r="P38" s="224"/>
      <c r="Q38" s="29"/>
      <c r="R38" s="19"/>
    </row>
    <row r="39" spans="2:18" s="16" customFormat="1" ht="14.4" customHeight="1">
      <c r="B39" s="17"/>
      <c r="R39" s="19"/>
    </row>
    <row r="40" spans="2:18" s="16" customFormat="1" ht="14.4" customHeight="1">
      <c r="B40" s="17"/>
      <c r="R40" s="19"/>
    </row>
    <row r="41" spans="2:18">
      <c r="B41" s="13"/>
      <c r="R41" s="14"/>
    </row>
    <row r="42" spans="2:18">
      <c r="B42" s="13"/>
      <c r="R42" s="14"/>
    </row>
    <row r="43" spans="2:18">
      <c r="B43" s="13"/>
      <c r="R43" s="14"/>
    </row>
    <row r="44" spans="2:18">
      <c r="B44" s="13"/>
      <c r="R44" s="14"/>
    </row>
    <row r="45" spans="2:18">
      <c r="B45" s="13"/>
      <c r="R45" s="14"/>
    </row>
    <row r="46" spans="2:18">
      <c r="B46" s="13"/>
      <c r="R46" s="14"/>
    </row>
    <row r="47" spans="2:18">
      <c r="B47" s="13"/>
      <c r="R47" s="14"/>
    </row>
    <row r="48" spans="2:18">
      <c r="B48" s="13"/>
      <c r="R48" s="14"/>
    </row>
    <row r="49" spans="2:18">
      <c r="B49" s="13"/>
      <c r="R49" s="14"/>
    </row>
    <row r="50" spans="2:18" s="16" customFormat="1" ht="14.4">
      <c r="B50" s="17"/>
      <c r="D50" s="34" t="s">
        <v>41</v>
      </c>
      <c r="E50" s="22"/>
      <c r="F50" s="22"/>
      <c r="G50" s="22"/>
      <c r="H50" s="35"/>
      <c r="J50" s="34" t="s">
        <v>42</v>
      </c>
      <c r="K50" s="22"/>
      <c r="L50" s="22"/>
      <c r="M50" s="22"/>
      <c r="N50" s="22"/>
      <c r="O50" s="22"/>
      <c r="P50" s="35"/>
      <c r="R50" s="19"/>
    </row>
    <row r="51" spans="2:18">
      <c r="B51" s="13"/>
      <c r="D51" s="36"/>
      <c r="H51" s="37"/>
      <c r="J51" s="36"/>
      <c r="P51" s="37"/>
      <c r="R51" s="14"/>
    </row>
    <row r="52" spans="2:18">
      <c r="B52" s="13"/>
      <c r="D52" s="36"/>
      <c r="H52" s="37"/>
      <c r="J52" s="36"/>
      <c r="P52" s="37"/>
      <c r="R52" s="14"/>
    </row>
    <row r="53" spans="2:18">
      <c r="B53" s="13"/>
      <c r="D53" s="36"/>
      <c r="H53" s="37"/>
      <c r="J53" s="36"/>
      <c r="P53" s="37"/>
      <c r="R53" s="14"/>
    </row>
    <row r="54" spans="2:18">
      <c r="B54" s="13"/>
      <c r="D54" s="36"/>
      <c r="H54" s="37"/>
      <c r="J54" s="36"/>
      <c r="P54" s="37"/>
      <c r="R54" s="14"/>
    </row>
    <row r="55" spans="2:18">
      <c r="B55" s="13"/>
      <c r="D55" s="36"/>
      <c r="H55" s="37"/>
      <c r="J55" s="36"/>
      <c r="P55" s="37"/>
      <c r="R55" s="14"/>
    </row>
    <row r="56" spans="2:18">
      <c r="B56" s="13"/>
      <c r="D56" s="36"/>
      <c r="H56" s="37"/>
      <c r="J56" s="36"/>
      <c r="P56" s="37"/>
      <c r="R56" s="14"/>
    </row>
    <row r="57" spans="2:18">
      <c r="B57" s="13"/>
      <c r="D57" s="36"/>
      <c r="H57" s="37"/>
      <c r="J57" s="36"/>
      <c r="P57" s="37"/>
      <c r="R57" s="14"/>
    </row>
    <row r="58" spans="2:18">
      <c r="B58" s="13"/>
      <c r="D58" s="36"/>
      <c r="H58" s="37"/>
      <c r="J58" s="36"/>
      <c r="P58" s="37"/>
      <c r="R58" s="14"/>
    </row>
    <row r="59" spans="2:18" s="16" customFormat="1" ht="14.4">
      <c r="B59" s="17"/>
      <c r="D59" s="38" t="s">
        <v>43</v>
      </c>
      <c r="E59" s="39"/>
      <c r="F59" s="39"/>
      <c r="G59" s="40" t="s">
        <v>44</v>
      </c>
      <c r="H59" s="41"/>
      <c r="J59" s="38" t="s">
        <v>43</v>
      </c>
      <c r="K59" s="39"/>
      <c r="L59" s="39"/>
      <c r="M59" s="39"/>
      <c r="N59" s="40" t="s">
        <v>44</v>
      </c>
      <c r="O59" s="39"/>
      <c r="P59" s="41"/>
      <c r="R59" s="19"/>
    </row>
    <row r="60" spans="2:18">
      <c r="B60" s="13"/>
      <c r="R60" s="14"/>
    </row>
    <row r="61" spans="2:18" s="16" customFormat="1" ht="14.4">
      <c r="B61" s="17"/>
      <c r="D61" s="34" t="s">
        <v>45</v>
      </c>
      <c r="E61" s="22"/>
      <c r="F61" s="22"/>
      <c r="G61" s="22"/>
      <c r="H61" s="35"/>
      <c r="J61" s="34" t="s">
        <v>46</v>
      </c>
      <c r="K61" s="22"/>
      <c r="L61" s="22"/>
      <c r="M61" s="22"/>
      <c r="N61" s="22"/>
      <c r="O61" s="22"/>
      <c r="P61" s="35"/>
      <c r="R61" s="19"/>
    </row>
    <row r="62" spans="2:18">
      <c r="B62" s="13"/>
      <c r="D62" s="36"/>
      <c r="H62" s="37"/>
      <c r="J62" s="36"/>
      <c r="P62" s="37"/>
      <c r="R62" s="14"/>
    </row>
    <row r="63" spans="2:18">
      <c r="B63" s="13"/>
      <c r="D63" s="36"/>
      <c r="H63" s="37"/>
      <c r="J63" s="36"/>
      <c r="P63" s="37"/>
      <c r="R63" s="14"/>
    </row>
    <row r="64" spans="2:18">
      <c r="B64" s="13"/>
      <c r="D64" s="36"/>
      <c r="H64" s="37"/>
      <c r="J64" s="36"/>
      <c r="P64" s="37"/>
      <c r="R64" s="14"/>
    </row>
    <row r="65" spans="2:18">
      <c r="B65" s="13"/>
      <c r="D65" s="36"/>
      <c r="H65" s="37"/>
      <c r="J65" s="36"/>
      <c r="P65" s="37"/>
      <c r="R65" s="14"/>
    </row>
    <row r="66" spans="2:18">
      <c r="B66" s="13"/>
      <c r="D66" s="36"/>
      <c r="H66" s="37"/>
      <c r="J66" s="36"/>
      <c r="P66" s="37"/>
      <c r="R66" s="14"/>
    </row>
    <row r="67" spans="2:18">
      <c r="B67" s="13"/>
      <c r="D67" s="36"/>
      <c r="H67" s="37"/>
      <c r="J67" s="36"/>
      <c r="P67" s="37"/>
      <c r="R67" s="14"/>
    </row>
    <row r="68" spans="2:18">
      <c r="B68" s="13"/>
      <c r="D68" s="36"/>
      <c r="H68" s="37"/>
      <c r="J68" s="36"/>
      <c r="P68" s="37"/>
      <c r="R68" s="14"/>
    </row>
    <row r="69" spans="2:18">
      <c r="B69" s="13"/>
      <c r="D69" s="36"/>
      <c r="H69" s="37"/>
      <c r="J69" s="36"/>
      <c r="P69" s="37"/>
      <c r="R69" s="14"/>
    </row>
    <row r="70" spans="2:18" s="16" customFormat="1" ht="14.4">
      <c r="B70" s="17"/>
      <c r="D70" s="38" t="s">
        <v>43</v>
      </c>
      <c r="E70" s="39"/>
      <c r="F70" s="39"/>
      <c r="G70" s="40" t="s">
        <v>44</v>
      </c>
      <c r="H70" s="41"/>
      <c r="J70" s="38" t="s">
        <v>43</v>
      </c>
      <c r="K70" s="39"/>
      <c r="L70" s="39"/>
      <c r="M70" s="39"/>
      <c r="N70" s="40" t="s">
        <v>44</v>
      </c>
      <c r="O70" s="39"/>
      <c r="P70" s="41"/>
      <c r="R70" s="19"/>
    </row>
    <row r="71" spans="2:18" s="16" customFormat="1" ht="14.4" customHeight="1"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4"/>
    </row>
    <row r="75" spans="2:18" s="16" customFormat="1" ht="6.9" customHeight="1">
      <c r="B75" s="45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7"/>
    </row>
    <row r="76" spans="2:18" s="16" customFormat="1" ht="36.9" customHeight="1">
      <c r="B76" s="17"/>
      <c r="C76" s="162" t="s">
        <v>74</v>
      </c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9"/>
    </row>
    <row r="77" spans="2:18" s="16" customFormat="1" ht="6.9" customHeight="1">
      <c r="B77" s="17"/>
      <c r="R77" s="19"/>
    </row>
    <row r="78" spans="2:18" s="16" customFormat="1" ht="30" customHeight="1">
      <c r="B78" s="17"/>
      <c r="C78" s="15" t="s">
        <v>12</v>
      </c>
      <c r="F78" s="217" t="str">
        <f>F6</f>
        <v>Revitalizace objektu MŠ-Srdíčko v Praze 12</v>
      </c>
      <c r="G78" s="218"/>
      <c r="H78" s="218"/>
      <c r="I78" s="218"/>
      <c r="J78" s="218"/>
      <c r="K78" s="218"/>
      <c r="L78" s="218"/>
      <c r="M78" s="218"/>
      <c r="N78" s="218"/>
      <c r="O78" s="218"/>
      <c r="P78" s="218"/>
      <c r="R78" s="19"/>
    </row>
    <row r="79" spans="2:18" s="16" customFormat="1" ht="36.9" customHeight="1">
      <c r="B79" s="17"/>
      <c r="C79" s="48" t="s">
        <v>69</v>
      </c>
      <c r="F79" s="188" t="str">
        <f>F7</f>
        <v>obj. C -VZT s rekuperací vzduchu</v>
      </c>
      <c r="G79" s="216"/>
      <c r="H79" s="216"/>
      <c r="I79" s="216"/>
      <c r="J79" s="216"/>
      <c r="K79" s="216"/>
      <c r="L79" s="216"/>
      <c r="M79" s="216"/>
      <c r="N79" s="216"/>
      <c r="O79" s="216"/>
      <c r="P79" s="216"/>
      <c r="R79" s="19"/>
    </row>
    <row r="80" spans="2:18" s="16" customFormat="1" ht="6.9" customHeight="1">
      <c r="B80" s="17"/>
      <c r="R80" s="19"/>
    </row>
    <row r="81" spans="2:18" s="16" customFormat="1" ht="18" customHeight="1">
      <c r="B81" s="17"/>
      <c r="C81" s="15" t="s">
        <v>16</v>
      </c>
      <c r="F81" s="20" t="str">
        <f>F9</f>
        <v>Levského 3203/19, Praha 12 - Modřany</v>
      </c>
      <c r="K81" s="15" t="s">
        <v>18</v>
      </c>
      <c r="M81" s="209" t="str">
        <f>IF(O9="","",O9)</f>
        <v>Vyplň údaj</v>
      </c>
      <c r="N81" s="209"/>
      <c r="O81" s="209"/>
      <c r="P81" s="209"/>
      <c r="R81" s="19"/>
    </row>
    <row r="82" spans="2:18" s="16" customFormat="1" ht="6.9" customHeight="1">
      <c r="B82" s="17"/>
      <c r="R82" s="19"/>
    </row>
    <row r="83" spans="2:18" s="16" customFormat="1" ht="13.2">
      <c r="B83" s="17"/>
      <c r="C83" s="15" t="s">
        <v>19</v>
      </c>
      <c r="F83" s="20" t="str">
        <f>E12</f>
        <v>Městská část Praha 12-Úřad městské části Praha 12</v>
      </c>
      <c r="K83" s="15" t="s">
        <v>24</v>
      </c>
      <c r="M83" s="164" t="str">
        <f>E18</f>
        <v>Projektová kancelář ATLAS s.r.o., Praha Nusle,Čikl</v>
      </c>
      <c r="N83" s="164"/>
      <c r="O83" s="164"/>
      <c r="P83" s="164"/>
      <c r="Q83" s="164"/>
      <c r="R83" s="19"/>
    </row>
    <row r="84" spans="2:18" s="16" customFormat="1" ht="14.4" customHeight="1">
      <c r="B84" s="17"/>
      <c r="C84" s="15" t="s">
        <v>23</v>
      </c>
      <c r="F84" s="20" t="str">
        <f>IF(E15="","",E15)</f>
        <v>Vyplň údaj</v>
      </c>
      <c r="K84" s="15" t="s">
        <v>26</v>
      </c>
      <c r="M84" s="164" t="str">
        <f>E21</f>
        <v>Vyplň údaj</v>
      </c>
      <c r="N84" s="164"/>
      <c r="O84" s="164"/>
      <c r="P84" s="164"/>
      <c r="Q84" s="164"/>
      <c r="R84" s="19"/>
    </row>
    <row r="85" spans="2:18" s="16" customFormat="1" ht="10.35" customHeight="1">
      <c r="B85" s="17"/>
      <c r="R85" s="19"/>
    </row>
    <row r="86" spans="2:18" s="16" customFormat="1" ht="29.25" customHeight="1">
      <c r="B86" s="17"/>
      <c r="C86" s="220" t="s">
        <v>75</v>
      </c>
      <c r="D86" s="221"/>
      <c r="E86" s="221"/>
      <c r="F86" s="221"/>
      <c r="G86" s="221"/>
      <c r="H86" s="29"/>
      <c r="I86" s="29"/>
      <c r="J86" s="29"/>
      <c r="K86" s="29"/>
      <c r="L86" s="29"/>
      <c r="M86" s="29"/>
      <c r="N86" s="220" t="s">
        <v>76</v>
      </c>
      <c r="O86" s="221"/>
      <c r="P86" s="221"/>
      <c r="Q86" s="221"/>
      <c r="R86" s="19"/>
    </row>
    <row r="87" spans="2:18" s="16" customFormat="1" ht="10.35" customHeight="1">
      <c r="B87" s="17"/>
      <c r="R87" s="19"/>
    </row>
    <row r="88" spans="2:18" s="16" customFormat="1" ht="29.25" customHeight="1">
      <c r="B88" s="17"/>
      <c r="C88" s="50" t="s">
        <v>77</v>
      </c>
      <c r="N88" s="170">
        <f>N122</f>
        <v>0</v>
      </c>
      <c r="O88" s="214"/>
      <c r="P88" s="214"/>
      <c r="Q88" s="214"/>
      <c r="R88" s="19"/>
    </row>
    <row r="89" spans="2:18" s="53" customFormat="1" ht="24.9" customHeight="1">
      <c r="B89" s="52"/>
      <c r="D89" s="54" t="s">
        <v>79</v>
      </c>
      <c r="N89" s="208">
        <f>SUM(N90:Q94)</f>
        <v>0</v>
      </c>
      <c r="O89" s="219"/>
      <c r="P89" s="219"/>
      <c r="Q89" s="219"/>
      <c r="R89" s="55"/>
    </row>
    <row r="90" spans="2:18" s="58" customFormat="1" ht="19.95" customHeight="1">
      <c r="B90" s="57"/>
      <c r="D90" s="59" t="s">
        <v>82</v>
      </c>
      <c r="N90" s="212">
        <f>+N124</f>
        <v>0</v>
      </c>
      <c r="O90" s="213"/>
      <c r="P90" s="213"/>
      <c r="Q90" s="213"/>
      <c r="R90" s="60"/>
    </row>
    <row r="91" spans="2:18" s="58" customFormat="1" ht="19.95" customHeight="1">
      <c r="B91" s="57"/>
      <c r="D91" s="59" t="s">
        <v>85</v>
      </c>
      <c r="N91" s="212">
        <f>+N127</f>
        <v>0</v>
      </c>
      <c r="O91" s="213"/>
      <c r="P91" s="213"/>
      <c r="Q91" s="213"/>
      <c r="R91" s="60"/>
    </row>
    <row r="92" spans="2:18" s="58" customFormat="1" ht="19.95" customHeight="1">
      <c r="B92" s="57"/>
      <c r="D92" s="59" t="s">
        <v>86</v>
      </c>
      <c r="N92" s="212">
        <f>+N129</f>
        <v>0</v>
      </c>
      <c r="O92" s="213"/>
      <c r="P92" s="213"/>
      <c r="Q92" s="213"/>
      <c r="R92" s="60"/>
    </row>
    <row r="93" spans="2:18" s="58" customFormat="1" ht="19.95" customHeight="1">
      <c r="B93" s="57"/>
      <c r="D93" s="59" t="s">
        <v>87</v>
      </c>
      <c r="N93" s="212">
        <f>+N132</f>
        <v>0</v>
      </c>
      <c r="O93" s="213"/>
      <c r="P93" s="213"/>
      <c r="Q93" s="213"/>
      <c r="R93" s="60"/>
    </row>
    <row r="94" spans="2:18" s="58" customFormat="1" ht="19.95" customHeight="1">
      <c r="B94" s="57"/>
      <c r="D94" s="59" t="s">
        <v>88</v>
      </c>
      <c r="N94" s="212">
        <f>+N138</f>
        <v>0</v>
      </c>
      <c r="O94" s="213"/>
      <c r="P94" s="213"/>
      <c r="Q94" s="213"/>
      <c r="R94" s="60"/>
    </row>
    <row r="95" spans="2:18" s="53" customFormat="1" ht="24.9" customHeight="1">
      <c r="B95" s="52"/>
      <c r="D95" s="54" t="s">
        <v>89</v>
      </c>
      <c r="N95" s="208">
        <f>SUM(N96:Q99)</f>
        <v>0</v>
      </c>
      <c r="O95" s="219"/>
      <c r="P95" s="219"/>
      <c r="Q95" s="219"/>
      <c r="R95" s="55"/>
    </row>
    <row r="96" spans="2:18" s="58" customFormat="1" ht="19.95" customHeight="1">
      <c r="B96" s="57"/>
      <c r="D96" s="59" t="s">
        <v>91</v>
      </c>
      <c r="N96" s="212">
        <f>+N141</f>
        <v>0</v>
      </c>
      <c r="O96" s="213"/>
      <c r="P96" s="213"/>
      <c r="Q96" s="213"/>
      <c r="R96" s="60"/>
    </row>
    <row r="97" spans="2:18" s="58" customFormat="1" ht="19.95" customHeight="1">
      <c r="B97" s="57"/>
      <c r="D97" s="59" t="s">
        <v>354</v>
      </c>
      <c r="N97" s="212">
        <f>+N145</f>
        <v>0</v>
      </c>
      <c r="O97" s="213"/>
      <c r="P97" s="213"/>
      <c r="Q97" s="213"/>
      <c r="R97" s="60"/>
    </row>
    <row r="98" spans="2:18" s="58" customFormat="1" ht="19.95" customHeight="1">
      <c r="B98" s="57"/>
      <c r="D98" s="59" t="s">
        <v>355</v>
      </c>
      <c r="N98" s="212">
        <f>+N150</f>
        <v>0</v>
      </c>
      <c r="O98" s="213"/>
      <c r="P98" s="213"/>
      <c r="Q98" s="213"/>
      <c r="R98" s="60"/>
    </row>
    <row r="99" spans="2:18" s="58" customFormat="1" ht="19.95" customHeight="1">
      <c r="B99" s="57"/>
      <c r="D99" s="59" t="s">
        <v>410</v>
      </c>
      <c r="N99" s="212">
        <f>+N167</f>
        <v>0</v>
      </c>
      <c r="O99" s="213"/>
      <c r="P99" s="213"/>
      <c r="Q99" s="213"/>
      <c r="R99" s="60"/>
    </row>
    <row r="100" spans="2:18" s="53" customFormat="1" ht="24.9" customHeight="1">
      <c r="B100" s="52"/>
      <c r="D100" s="54" t="s">
        <v>96</v>
      </c>
      <c r="N100" s="208">
        <f>+N171</f>
        <v>0</v>
      </c>
      <c r="O100" s="219"/>
      <c r="P100" s="219"/>
      <c r="Q100" s="219"/>
      <c r="R100" s="55"/>
    </row>
    <row r="101" spans="2:18" s="58" customFormat="1" ht="19.95" customHeight="1">
      <c r="B101" s="57"/>
      <c r="D101" s="59"/>
      <c r="N101" s="212"/>
      <c r="O101" s="213"/>
      <c r="P101" s="213"/>
      <c r="Q101" s="213"/>
      <c r="R101" s="60"/>
    </row>
    <row r="102" spans="2:18" s="16" customFormat="1" ht="21.75" customHeight="1">
      <c r="B102" s="17"/>
      <c r="R102" s="19"/>
    </row>
    <row r="103" spans="2:18" s="16" customFormat="1" ht="29.25" customHeight="1">
      <c r="B103" s="17"/>
      <c r="C103" s="50"/>
      <c r="N103" s="214"/>
      <c r="O103" s="215"/>
      <c r="P103" s="215"/>
      <c r="Q103" s="215"/>
      <c r="R103" s="19"/>
    </row>
    <row r="104" spans="2:18" s="16" customFormat="1" ht="18" customHeight="1">
      <c r="B104" s="17"/>
      <c r="R104" s="19"/>
    </row>
    <row r="105" spans="2:18" s="16" customFormat="1" ht="29.25" customHeight="1">
      <c r="B105" s="17"/>
      <c r="C105" s="61" t="s">
        <v>438</v>
      </c>
      <c r="D105" s="29"/>
      <c r="E105" s="29"/>
      <c r="F105" s="29"/>
      <c r="G105" s="29"/>
      <c r="H105" s="29"/>
      <c r="I105" s="29"/>
      <c r="J105" s="29"/>
      <c r="K105" s="29"/>
      <c r="L105" s="171">
        <f>ROUND(SUM(N88+N103),2)</f>
        <v>0</v>
      </c>
      <c r="M105" s="171"/>
      <c r="N105" s="171"/>
      <c r="O105" s="171"/>
      <c r="P105" s="171"/>
      <c r="Q105" s="171"/>
      <c r="R105" s="19"/>
    </row>
    <row r="106" spans="2:18" s="16" customFormat="1" ht="6.9" customHeight="1"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4"/>
    </row>
    <row r="110" spans="2:18" s="16" customFormat="1" ht="6.9" customHeight="1"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7"/>
    </row>
    <row r="111" spans="2:18" s="16" customFormat="1" ht="36.9" customHeight="1">
      <c r="B111" s="17"/>
      <c r="C111" s="162" t="s">
        <v>101</v>
      </c>
      <c r="D111" s="216"/>
      <c r="E111" s="216"/>
      <c r="F111" s="216"/>
      <c r="G111" s="216"/>
      <c r="H111" s="216"/>
      <c r="I111" s="216"/>
      <c r="J111" s="216"/>
      <c r="K111" s="216"/>
      <c r="L111" s="216"/>
      <c r="M111" s="216"/>
      <c r="N111" s="216"/>
      <c r="O111" s="216"/>
      <c r="P111" s="216"/>
      <c r="Q111" s="216"/>
      <c r="R111" s="19"/>
    </row>
    <row r="112" spans="2:18" s="16" customFormat="1" ht="6.9" customHeight="1">
      <c r="B112" s="17"/>
      <c r="R112" s="19"/>
    </row>
    <row r="113" spans="2:18" s="16" customFormat="1" ht="30" customHeight="1">
      <c r="B113" s="17"/>
      <c r="C113" s="15" t="s">
        <v>12</v>
      </c>
      <c r="F113" s="217" t="str">
        <f>F6</f>
        <v>Revitalizace objektu MŠ-Srdíčko v Praze 12</v>
      </c>
      <c r="G113" s="218"/>
      <c r="H113" s="218"/>
      <c r="I113" s="218"/>
      <c r="J113" s="218"/>
      <c r="K113" s="218"/>
      <c r="L113" s="218"/>
      <c r="M113" s="218"/>
      <c r="N113" s="218"/>
      <c r="O113" s="218"/>
      <c r="P113" s="218"/>
      <c r="R113" s="19"/>
    </row>
    <row r="114" spans="2:18" s="16" customFormat="1" ht="36.9" customHeight="1">
      <c r="B114" s="17"/>
      <c r="C114" s="48" t="s">
        <v>69</v>
      </c>
      <c r="F114" s="188" t="str">
        <f>F7</f>
        <v>obj. C -VZT s rekuperací vzduchu</v>
      </c>
      <c r="G114" s="216"/>
      <c r="H114" s="216"/>
      <c r="I114" s="216"/>
      <c r="J114" s="216"/>
      <c r="K114" s="216"/>
      <c r="L114" s="216"/>
      <c r="M114" s="216"/>
      <c r="N114" s="216"/>
      <c r="O114" s="216"/>
      <c r="P114" s="216"/>
      <c r="R114" s="19"/>
    </row>
    <row r="115" spans="2:18" s="16" customFormat="1" ht="6.9" customHeight="1">
      <c r="B115" s="17"/>
      <c r="R115" s="19"/>
    </row>
    <row r="116" spans="2:18" s="16" customFormat="1" ht="18" customHeight="1">
      <c r="B116" s="17"/>
      <c r="C116" s="15" t="s">
        <v>16</v>
      </c>
      <c r="F116" s="20" t="str">
        <f>F9</f>
        <v>Levského 3203/19, Praha 12 - Modřany</v>
      </c>
      <c r="K116" s="15" t="s">
        <v>18</v>
      </c>
      <c r="M116" s="209" t="str">
        <f>IF(O9="","",O9)</f>
        <v>Vyplň údaj</v>
      </c>
      <c r="N116" s="209"/>
      <c r="O116" s="209"/>
      <c r="P116" s="209"/>
      <c r="R116" s="19"/>
    </row>
    <row r="117" spans="2:18" s="16" customFormat="1" ht="6.9" customHeight="1">
      <c r="B117" s="17"/>
      <c r="R117" s="19"/>
    </row>
    <row r="118" spans="2:18" s="16" customFormat="1" ht="13.2">
      <c r="B118" s="17"/>
      <c r="C118" s="15" t="s">
        <v>19</v>
      </c>
      <c r="F118" s="20" t="str">
        <f>E12</f>
        <v>Městská část Praha 12-Úřad městské části Praha 12</v>
      </c>
      <c r="K118" s="15" t="s">
        <v>24</v>
      </c>
      <c r="M118" s="164" t="str">
        <f>E18</f>
        <v>Projektová kancelář ATLAS s.r.o., Praha Nusle,Čikl</v>
      </c>
      <c r="N118" s="164"/>
      <c r="O118" s="164"/>
      <c r="P118" s="164"/>
      <c r="Q118" s="164"/>
      <c r="R118" s="19"/>
    </row>
    <row r="119" spans="2:18" s="16" customFormat="1" ht="14.4" customHeight="1">
      <c r="B119" s="17"/>
      <c r="C119" s="15" t="s">
        <v>23</v>
      </c>
      <c r="F119" s="20" t="str">
        <f>IF(E15="","",E15)</f>
        <v>Vyplň údaj</v>
      </c>
      <c r="K119" s="15" t="s">
        <v>26</v>
      </c>
      <c r="M119" s="164" t="str">
        <f>E21</f>
        <v>Vyplň údaj</v>
      </c>
      <c r="N119" s="164"/>
      <c r="O119" s="164"/>
      <c r="P119" s="164"/>
      <c r="Q119" s="164"/>
      <c r="R119" s="19"/>
    </row>
    <row r="120" spans="2:18" s="16" customFormat="1" ht="10.35" customHeight="1">
      <c r="B120" s="17"/>
      <c r="R120" s="19"/>
    </row>
    <row r="121" spans="2:18" s="49" customFormat="1" ht="29.25" customHeight="1">
      <c r="B121" s="64"/>
      <c r="C121" s="65" t="s">
        <v>102</v>
      </c>
      <c r="D121" s="66" t="s">
        <v>103</v>
      </c>
      <c r="E121" s="66" t="s">
        <v>48</v>
      </c>
      <c r="F121" s="210" t="s">
        <v>104</v>
      </c>
      <c r="G121" s="210"/>
      <c r="H121" s="210"/>
      <c r="I121" s="210"/>
      <c r="J121" s="66" t="s">
        <v>105</v>
      </c>
      <c r="K121" s="66" t="s">
        <v>106</v>
      </c>
      <c r="L121" s="210" t="s">
        <v>107</v>
      </c>
      <c r="M121" s="210"/>
      <c r="N121" s="210" t="s">
        <v>76</v>
      </c>
      <c r="O121" s="210"/>
      <c r="P121" s="210"/>
      <c r="Q121" s="211"/>
      <c r="R121" s="67"/>
    </row>
    <row r="122" spans="2:18" s="16" customFormat="1" ht="29.25" customHeight="1">
      <c r="B122" s="17"/>
      <c r="C122" s="71" t="s">
        <v>72</v>
      </c>
      <c r="N122" s="205">
        <f>+N123+N140+N171</f>
        <v>0</v>
      </c>
      <c r="O122" s="206"/>
      <c r="P122" s="206"/>
      <c r="Q122" s="206"/>
      <c r="R122" s="19"/>
    </row>
    <row r="123" spans="2:18" s="77" customFormat="1" ht="37.35" customHeight="1">
      <c r="B123" s="76"/>
      <c r="D123" s="78" t="s">
        <v>79</v>
      </c>
      <c r="E123" s="78"/>
      <c r="F123" s="78"/>
      <c r="G123" s="78"/>
      <c r="H123" s="78"/>
      <c r="I123" s="78"/>
      <c r="J123" s="78"/>
      <c r="K123" s="78"/>
      <c r="L123" s="78"/>
      <c r="M123" s="78"/>
      <c r="N123" s="207">
        <f>+N124+N127+N129+N132+N138</f>
        <v>0</v>
      </c>
      <c r="O123" s="208"/>
      <c r="P123" s="208"/>
      <c r="Q123" s="208"/>
      <c r="R123" s="79"/>
    </row>
    <row r="124" spans="2:18" s="77" customFormat="1" ht="19.95" customHeight="1">
      <c r="B124" s="76"/>
      <c r="D124" s="86" t="s">
        <v>82</v>
      </c>
      <c r="E124" s="86"/>
      <c r="F124" s="86"/>
      <c r="G124" s="86"/>
      <c r="H124" s="86"/>
      <c r="I124" s="86"/>
      <c r="J124" s="86"/>
      <c r="K124" s="86"/>
      <c r="L124" s="86"/>
      <c r="M124" s="86"/>
      <c r="N124" s="200">
        <f>SUM(N125:Q126)</f>
        <v>0</v>
      </c>
      <c r="O124" s="201"/>
      <c r="P124" s="201"/>
      <c r="Q124" s="201"/>
      <c r="R124" s="79"/>
    </row>
    <row r="125" spans="2:18" s="16" customFormat="1" ht="38.25" customHeight="1">
      <c r="B125" s="17"/>
      <c r="C125" s="87" t="s">
        <v>56</v>
      </c>
      <c r="D125" s="87" t="s">
        <v>116</v>
      </c>
      <c r="E125" s="88" t="s">
        <v>411</v>
      </c>
      <c r="F125" s="192" t="s">
        <v>412</v>
      </c>
      <c r="G125" s="192"/>
      <c r="H125" s="192"/>
      <c r="I125" s="192"/>
      <c r="J125" s="89" t="s">
        <v>142</v>
      </c>
      <c r="K125" s="90">
        <v>12</v>
      </c>
      <c r="L125" s="193"/>
      <c r="M125" s="194"/>
      <c r="N125" s="195">
        <f>ROUND(L125*K125,2)</f>
        <v>0</v>
      </c>
      <c r="O125" s="195"/>
      <c r="P125" s="195"/>
      <c r="Q125" s="195"/>
      <c r="R125" s="19"/>
    </row>
    <row r="126" spans="2:18" s="16" customFormat="1" ht="38.25" customHeight="1">
      <c r="B126" s="17"/>
      <c r="C126" s="87" t="s">
        <v>67</v>
      </c>
      <c r="D126" s="87" t="s">
        <v>116</v>
      </c>
      <c r="E126" s="88" t="s">
        <v>413</v>
      </c>
      <c r="F126" s="192" t="s">
        <v>414</v>
      </c>
      <c r="G126" s="192"/>
      <c r="H126" s="192"/>
      <c r="I126" s="192"/>
      <c r="J126" s="89" t="s">
        <v>142</v>
      </c>
      <c r="K126" s="90">
        <v>6</v>
      </c>
      <c r="L126" s="193"/>
      <c r="M126" s="194"/>
      <c r="N126" s="195">
        <f>ROUND(L126*K126,2)</f>
        <v>0</v>
      </c>
      <c r="O126" s="195"/>
      <c r="P126" s="195"/>
      <c r="Q126" s="195"/>
      <c r="R126" s="19"/>
    </row>
    <row r="127" spans="2:18" s="77" customFormat="1" ht="29.85" customHeight="1">
      <c r="B127" s="76"/>
      <c r="D127" s="86" t="s">
        <v>85</v>
      </c>
      <c r="E127" s="86"/>
      <c r="F127" s="86"/>
      <c r="G127" s="86"/>
      <c r="H127" s="86"/>
      <c r="I127" s="86"/>
      <c r="J127" s="86"/>
      <c r="K127" s="86"/>
      <c r="L127" s="86"/>
      <c r="M127" s="86"/>
      <c r="N127" s="202">
        <f>SUM(N128)</f>
        <v>0</v>
      </c>
      <c r="O127" s="203"/>
      <c r="P127" s="203"/>
      <c r="Q127" s="203"/>
      <c r="R127" s="79"/>
    </row>
    <row r="128" spans="2:18" s="16" customFormat="1" ht="25.5" customHeight="1">
      <c r="B128" s="17"/>
      <c r="C128" s="87" t="s">
        <v>125</v>
      </c>
      <c r="D128" s="87" t="s">
        <v>116</v>
      </c>
      <c r="E128" s="88" t="s">
        <v>415</v>
      </c>
      <c r="F128" s="192" t="s">
        <v>416</v>
      </c>
      <c r="G128" s="192"/>
      <c r="H128" s="192"/>
      <c r="I128" s="192"/>
      <c r="J128" s="89" t="s">
        <v>142</v>
      </c>
      <c r="K128" s="90">
        <v>36</v>
      </c>
      <c r="L128" s="193"/>
      <c r="M128" s="194"/>
      <c r="N128" s="195">
        <f>ROUND(L128*K128,2)</f>
        <v>0</v>
      </c>
      <c r="O128" s="195"/>
      <c r="P128" s="195"/>
      <c r="Q128" s="195"/>
      <c r="R128" s="19"/>
    </row>
    <row r="129" spans="2:18" s="77" customFormat="1" ht="29.85" customHeight="1">
      <c r="B129" s="76"/>
      <c r="D129" s="86" t="s">
        <v>86</v>
      </c>
      <c r="E129" s="86"/>
      <c r="F129" s="86"/>
      <c r="G129" s="86"/>
      <c r="H129" s="86"/>
      <c r="I129" s="86"/>
      <c r="J129" s="86"/>
      <c r="K129" s="86"/>
      <c r="L129" s="86"/>
      <c r="M129" s="86"/>
      <c r="N129" s="202">
        <f>SUM(N130:Q131)</f>
        <v>0</v>
      </c>
      <c r="O129" s="203"/>
      <c r="P129" s="203"/>
      <c r="Q129" s="203"/>
      <c r="R129" s="79"/>
    </row>
    <row r="130" spans="2:18" s="16" customFormat="1" ht="38.25" customHeight="1">
      <c r="B130" s="17"/>
      <c r="C130" s="87">
        <f>+C128+1</f>
        <v>4</v>
      </c>
      <c r="D130" s="87" t="s">
        <v>116</v>
      </c>
      <c r="E130" s="88" t="s">
        <v>417</v>
      </c>
      <c r="F130" s="192" t="s">
        <v>418</v>
      </c>
      <c r="G130" s="192"/>
      <c r="H130" s="192"/>
      <c r="I130" s="192"/>
      <c r="J130" s="89" t="s">
        <v>142</v>
      </c>
      <c r="K130" s="90">
        <f>5*4</f>
        <v>20</v>
      </c>
      <c r="L130" s="193"/>
      <c r="M130" s="194"/>
      <c r="N130" s="195">
        <f>ROUND(L130*K130,2)</f>
        <v>0</v>
      </c>
      <c r="O130" s="195"/>
      <c r="P130" s="195"/>
      <c r="Q130" s="195"/>
      <c r="R130" s="19"/>
    </row>
    <row r="131" spans="2:18" s="16" customFormat="1" ht="38.25" customHeight="1">
      <c r="B131" s="17"/>
      <c r="C131" s="87">
        <f>+C130+1</f>
        <v>5</v>
      </c>
      <c r="D131" s="87" t="s">
        <v>116</v>
      </c>
      <c r="E131" s="88" t="s">
        <v>531</v>
      </c>
      <c r="F131" s="192" t="s">
        <v>532</v>
      </c>
      <c r="G131" s="192"/>
      <c r="H131" s="192"/>
      <c r="I131" s="192"/>
      <c r="J131" s="89" t="s">
        <v>142</v>
      </c>
      <c r="K131" s="90">
        <f>7*4</f>
        <v>28</v>
      </c>
      <c r="L131" s="193"/>
      <c r="M131" s="194"/>
      <c r="N131" s="195">
        <f>ROUND(L131*K131,2)</f>
        <v>0</v>
      </c>
      <c r="O131" s="195"/>
      <c r="P131" s="195"/>
      <c r="Q131" s="195"/>
      <c r="R131" s="19"/>
    </row>
    <row r="132" spans="2:18" s="77" customFormat="1" ht="29.85" customHeight="1">
      <c r="B132" s="76"/>
      <c r="D132" s="86" t="s">
        <v>87</v>
      </c>
      <c r="E132" s="86"/>
      <c r="F132" s="86"/>
      <c r="G132" s="86"/>
      <c r="H132" s="86"/>
      <c r="I132" s="86"/>
      <c r="J132" s="86"/>
      <c r="K132" s="86"/>
      <c r="L132" s="86"/>
      <c r="M132" s="86"/>
      <c r="N132" s="202">
        <f>SUM(N133:Q137)</f>
        <v>0</v>
      </c>
      <c r="O132" s="203"/>
      <c r="P132" s="203"/>
      <c r="Q132" s="203"/>
      <c r="R132" s="79"/>
    </row>
    <row r="133" spans="2:18" s="16" customFormat="1" ht="38.25" customHeight="1">
      <c r="B133" s="17"/>
      <c r="C133" s="87">
        <f>+C131+1</f>
        <v>6</v>
      </c>
      <c r="D133" s="87" t="s">
        <v>116</v>
      </c>
      <c r="E133" s="88" t="s">
        <v>368</v>
      </c>
      <c r="F133" s="192" t="s">
        <v>485</v>
      </c>
      <c r="G133" s="192"/>
      <c r="H133" s="192"/>
      <c r="I133" s="192"/>
      <c r="J133" s="89" t="s">
        <v>247</v>
      </c>
      <c r="K133" s="90">
        <v>1.5349999999999999</v>
      </c>
      <c r="L133" s="193"/>
      <c r="M133" s="194"/>
      <c r="N133" s="195">
        <f t="shared" ref="N133:N137" si="0">ROUND(L133*K133,2)</f>
        <v>0</v>
      </c>
      <c r="O133" s="195"/>
      <c r="P133" s="195"/>
      <c r="Q133" s="195"/>
      <c r="R133" s="19"/>
    </row>
    <row r="134" spans="2:18" s="16" customFormat="1" ht="38.25" customHeight="1">
      <c r="B134" s="17"/>
      <c r="C134" s="87">
        <f>+C133+1</f>
        <v>7</v>
      </c>
      <c r="D134" s="87" t="s">
        <v>116</v>
      </c>
      <c r="E134" s="88" t="s">
        <v>249</v>
      </c>
      <c r="F134" s="192" t="s">
        <v>486</v>
      </c>
      <c r="G134" s="192"/>
      <c r="H134" s="192"/>
      <c r="I134" s="192"/>
      <c r="J134" s="89" t="s">
        <v>247</v>
      </c>
      <c r="K134" s="90">
        <v>1.5349999999999999</v>
      </c>
      <c r="L134" s="193"/>
      <c r="M134" s="194"/>
      <c r="N134" s="195">
        <f t="shared" si="0"/>
        <v>0</v>
      </c>
      <c r="O134" s="195"/>
      <c r="P134" s="195"/>
      <c r="Q134" s="195"/>
      <c r="R134" s="19"/>
    </row>
    <row r="135" spans="2:18" s="16" customFormat="1" ht="38.25" customHeight="1">
      <c r="B135" s="17"/>
      <c r="C135" s="87">
        <f t="shared" ref="C135:C137" si="1">+C134+1</f>
        <v>8</v>
      </c>
      <c r="D135" s="87" t="s">
        <v>116</v>
      </c>
      <c r="E135" s="88" t="s">
        <v>495</v>
      </c>
      <c r="F135" s="192" t="s">
        <v>496</v>
      </c>
      <c r="G135" s="192"/>
      <c r="H135" s="192"/>
      <c r="I135" s="192"/>
      <c r="J135" s="89" t="s">
        <v>247</v>
      </c>
      <c r="K135" s="90">
        <v>1.5349999999999999</v>
      </c>
      <c r="L135" s="193"/>
      <c r="M135" s="194"/>
      <c r="N135" s="195">
        <f t="shared" si="0"/>
        <v>0</v>
      </c>
      <c r="O135" s="195"/>
      <c r="P135" s="195"/>
      <c r="Q135" s="195"/>
      <c r="R135" s="19"/>
    </row>
    <row r="136" spans="2:18" s="16" customFormat="1" ht="38.25" customHeight="1">
      <c r="B136" s="17"/>
      <c r="C136" s="87">
        <f t="shared" si="1"/>
        <v>9</v>
      </c>
      <c r="D136" s="87" t="s">
        <v>116</v>
      </c>
      <c r="E136" s="88" t="s">
        <v>493</v>
      </c>
      <c r="F136" s="192" t="s">
        <v>487</v>
      </c>
      <c r="G136" s="192"/>
      <c r="H136" s="192"/>
      <c r="I136" s="192"/>
      <c r="J136" s="89" t="s">
        <v>247</v>
      </c>
      <c r="K136" s="90">
        <f>+K135*0.3</f>
        <v>0.46049999999999996</v>
      </c>
      <c r="L136" s="193"/>
      <c r="M136" s="194"/>
      <c r="N136" s="195">
        <f t="shared" si="0"/>
        <v>0</v>
      </c>
      <c r="O136" s="195"/>
      <c r="P136" s="195"/>
      <c r="Q136" s="195"/>
      <c r="R136" s="19"/>
    </row>
    <row r="137" spans="2:18" s="16" customFormat="1" ht="87.75" customHeight="1">
      <c r="B137" s="17"/>
      <c r="C137" s="87">
        <f t="shared" si="1"/>
        <v>10</v>
      </c>
      <c r="D137" s="87" t="s">
        <v>116</v>
      </c>
      <c r="E137" s="88" t="s">
        <v>494</v>
      </c>
      <c r="F137" s="192" t="s">
        <v>488</v>
      </c>
      <c r="G137" s="192"/>
      <c r="H137" s="192"/>
      <c r="I137" s="192"/>
      <c r="J137" s="89" t="s">
        <v>247</v>
      </c>
      <c r="K137" s="90">
        <f>+K135*0.7</f>
        <v>1.0744999999999998</v>
      </c>
      <c r="L137" s="193"/>
      <c r="M137" s="194"/>
      <c r="N137" s="195">
        <f t="shared" si="0"/>
        <v>0</v>
      </c>
      <c r="O137" s="195"/>
      <c r="P137" s="195"/>
      <c r="Q137" s="195"/>
      <c r="R137" s="19"/>
    </row>
    <row r="138" spans="2:18" s="77" customFormat="1" ht="29.85" customHeight="1">
      <c r="B138" s="76"/>
      <c r="D138" s="86" t="s">
        <v>88</v>
      </c>
      <c r="E138" s="86"/>
      <c r="F138" s="86"/>
      <c r="G138" s="86"/>
      <c r="H138" s="86"/>
      <c r="I138" s="86"/>
      <c r="J138" s="86"/>
      <c r="K138" s="86"/>
      <c r="L138" s="86"/>
      <c r="M138" s="86"/>
      <c r="N138" s="202">
        <f>SUM(N139)</f>
        <v>0</v>
      </c>
      <c r="O138" s="203"/>
      <c r="P138" s="203"/>
      <c r="Q138" s="203"/>
      <c r="R138" s="79"/>
    </row>
    <row r="139" spans="2:18" s="16" customFormat="1" ht="25.5" customHeight="1">
      <c r="B139" s="17"/>
      <c r="C139" s="87">
        <f>+C137+1</f>
        <v>11</v>
      </c>
      <c r="D139" s="87" t="s">
        <v>116</v>
      </c>
      <c r="E139" s="88" t="s">
        <v>419</v>
      </c>
      <c r="F139" s="192" t="s">
        <v>420</v>
      </c>
      <c r="G139" s="192"/>
      <c r="H139" s="192"/>
      <c r="I139" s="192"/>
      <c r="J139" s="89" t="s">
        <v>247</v>
      </c>
      <c r="K139" s="3"/>
      <c r="L139" s="193"/>
      <c r="M139" s="194"/>
      <c r="N139" s="195">
        <f>ROUND(L139*K139,2)</f>
        <v>0</v>
      </c>
      <c r="O139" s="195"/>
      <c r="P139" s="195"/>
      <c r="Q139" s="195"/>
      <c r="R139" s="19"/>
    </row>
    <row r="140" spans="2:18" s="77" customFormat="1" ht="37.35" customHeight="1">
      <c r="B140" s="76"/>
      <c r="D140" s="78" t="s">
        <v>89</v>
      </c>
      <c r="E140" s="78"/>
      <c r="F140" s="78"/>
      <c r="G140" s="78"/>
      <c r="H140" s="78"/>
      <c r="I140" s="78"/>
      <c r="J140" s="78"/>
      <c r="K140" s="78"/>
      <c r="L140" s="78"/>
      <c r="M140" s="78"/>
      <c r="N140" s="196">
        <f>+N141+N145+N150+N167</f>
        <v>0</v>
      </c>
      <c r="O140" s="197"/>
      <c r="P140" s="197"/>
      <c r="Q140" s="197"/>
      <c r="R140" s="79"/>
    </row>
    <row r="141" spans="2:18" s="77" customFormat="1" ht="19.95" customHeight="1">
      <c r="B141" s="76"/>
      <c r="D141" s="86" t="s">
        <v>91</v>
      </c>
      <c r="E141" s="86"/>
      <c r="F141" s="86"/>
      <c r="G141" s="86"/>
      <c r="H141" s="86"/>
      <c r="I141" s="86"/>
      <c r="J141" s="86"/>
      <c r="K141" s="86"/>
      <c r="L141" s="86"/>
      <c r="M141" s="86"/>
      <c r="N141" s="200">
        <f>SUM(N142:Q144)</f>
        <v>0</v>
      </c>
      <c r="O141" s="201"/>
      <c r="P141" s="201"/>
      <c r="Q141" s="201"/>
      <c r="R141" s="79"/>
    </row>
    <row r="142" spans="2:18" s="16" customFormat="1" ht="25.5" customHeight="1">
      <c r="B142" s="17"/>
      <c r="C142" s="87">
        <f>+C139+1</f>
        <v>12</v>
      </c>
      <c r="D142" s="87" t="s">
        <v>116</v>
      </c>
      <c r="E142" s="88" t="s">
        <v>421</v>
      </c>
      <c r="F142" s="192" t="s">
        <v>533</v>
      </c>
      <c r="G142" s="192"/>
      <c r="H142" s="192"/>
      <c r="I142" s="192"/>
      <c r="J142" s="89" t="s">
        <v>119</v>
      </c>
      <c r="K142" s="90">
        <v>2.419</v>
      </c>
      <c r="L142" s="193"/>
      <c r="M142" s="194"/>
      <c r="N142" s="195">
        <f>ROUND(L142*K142,2)</f>
        <v>0</v>
      </c>
      <c r="O142" s="195"/>
      <c r="P142" s="195"/>
      <c r="Q142" s="195"/>
      <c r="R142" s="19"/>
    </row>
    <row r="143" spans="2:18" s="16" customFormat="1" ht="25.5" customHeight="1">
      <c r="B143" s="17"/>
      <c r="C143" s="97">
        <f>+C142+1</f>
        <v>13</v>
      </c>
      <c r="D143" s="97" t="s">
        <v>166</v>
      </c>
      <c r="E143" s="117" t="s">
        <v>534</v>
      </c>
      <c r="F143" s="198" t="s">
        <v>535</v>
      </c>
      <c r="G143" s="198"/>
      <c r="H143" s="198"/>
      <c r="I143" s="198"/>
      <c r="J143" s="99" t="s">
        <v>119</v>
      </c>
      <c r="K143" s="100">
        <v>2.4670000000000001</v>
      </c>
      <c r="L143" s="193"/>
      <c r="M143" s="194"/>
      <c r="N143" s="199">
        <f>ROUND(L143*K143,2)</f>
        <v>0</v>
      </c>
      <c r="O143" s="195"/>
      <c r="P143" s="195"/>
      <c r="Q143" s="195"/>
      <c r="R143" s="19"/>
    </row>
    <row r="144" spans="2:18" s="16" customFormat="1" ht="25.5" customHeight="1">
      <c r="B144" s="17"/>
      <c r="C144" s="87">
        <f>+C143+1</f>
        <v>14</v>
      </c>
      <c r="D144" s="87" t="s">
        <v>116</v>
      </c>
      <c r="E144" s="88" t="s">
        <v>281</v>
      </c>
      <c r="F144" s="192" t="s">
        <v>282</v>
      </c>
      <c r="G144" s="192"/>
      <c r="H144" s="192"/>
      <c r="I144" s="192"/>
      <c r="J144" s="89" t="s">
        <v>261</v>
      </c>
      <c r="K144" s="3"/>
      <c r="L144" s="193"/>
      <c r="M144" s="194"/>
      <c r="N144" s="195">
        <f>ROUND(L144*K144,2)</f>
        <v>0</v>
      </c>
      <c r="O144" s="195"/>
      <c r="P144" s="195"/>
      <c r="Q144" s="195"/>
      <c r="R144" s="19"/>
    </row>
    <row r="145" spans="1:51" s="77" customFormat="1" ht="29.85" customHeight="1">
      <c r="B145" s="76"/>
      <c r="D145" s="86" t="s">
        <v>354</v>
      </c>
      <c r="E145" s="86"/>
      <c r="F145" s="86"/>
      <c r="G145" s="86"/>
      <c r="H145" s="86"/>
      <c r="I145" s="86"/>
      <c r="J145" s="86"/>
      <c r="K145" s="86"/>
      <c r="L145" s="86"/>
      <c r="M145" s="86"/>
      <c r="N145" s="202">
        <f>SUM(N146:Q148)</f>
        <v>0</v>
      </c>
      <c r="O145" s="203"/>
      <c r="P145" s="203"/>
      <c r="Q145" s="203"/>
      <c r="R145" s="79"/>
    </row>
    <row r="146" spans="1:51" s="16" customFormat="1" ht="44.25" customHeight="1">
      <c r="B146" s="17"/>
      <c r="C146" s="87">
        <f>+C144+1</f>
        <v>15</v>
      </c>
      <c r="D146" s="87" t="s">
        <v>116</v>
      </c>
      <c r="E146" s="88"/>
      <c r="F146" s="192" t="s">
        <v>536</v>
      </c>
      <c r="G146" s="192"/>
      <c r="H146" s="192"/>
      <c r="I146" s="192"/>
      <c r="J146" s="89" t="s">
        <v>138</v>
      </c>
      <c r="K146" s="90">
        <v>4</v>
      </c>
      <c r="L146" s="193"/>
      <c r="M146" s="194"/>
      <c r="N146" s="195">
        <f>ROUND(L146*K146,2)</f>
        <v>0</v>
      </c>
      <c r="O146" s="195"/>
      <c r="P146" s="195"/>
      <c r="Q146" s="195"/>
      <c r="R146" s="19"/>
    </row>
    <row r="147" spans="1:51" s="16" customFormat="1" ht="25.5" customHeight="1">
      <c r="B147" s="17"/>
      <c r="C147" s="87">
        <f>+C146+1</f>
        <v>16</v>
      </c>
      <c r="D147" s="87" t="s">
        <v>116</v>
      </c>
      <c r="E147" s="88" t="s">
        <v>537</v>
      </c>
      <c r="F147" s="192" t="s">
        <v>538</v>
      </c>
      <c r="G147" s="192"/>
      <c r="H147" s="192"/>
      <c r="I147" s="192"/>
      <c r="J147" s="89" t="s">
        <v>138</v>
      </c>
      <c r="K147" s="90">
        <v>1</v>
      </c>
      <c r="L147" s="193"/>
      <c r="M147" s="194"/>
      <c r="N147" s="195">
        <f>ROUND(L147*K147,2)</f>
        <v>0</v>
      </c>
      <c r="O147" s="195"/>
      <c r="P147" s="195"/>
      <c r="Q147" s="195"/>
      <c r="R147" s="19"/>
    </row>
    <row r="148" spans="1:51" s="16" customFormat="1" ht="25.5" customHeight="1">
      <c r="B148" s="17"/>
      <c r="C148" s="87">
        <f>+C147+1</f>
        <v>17</v>
      </c>
      <c r="D148" s="87" t="s">
        <v>116</v>
      </c>
      <c r="E148" s="88" t="s">
        <v>422</v>
      </c>
      <c r="F148" s="192" t="s">
        <v>423</v>
      </c>
      <c r="G148" s="192"/>
      <c r="H148" s="192"/>
      <c r="I148" s="192"/>
      <c r="J148" s="89" t="s">
        <v>261</v>
      </c>
      <c r="K148" s="3"/>
      <c r="L148" s="193"/>
      <c r="M148" s="194"/>
      <c r="N148" s="195">
        <f>ROUND(L148*K148,2)</f>
        <v>0</v>
      </c>
      <c r="O148" s="195"/>
      <c r="P148" s="195"/>
      <c r="Q148" s="195"/>
      <c r="R148" s="19"/>
    </row>
    <row r="149" spans="1:51" s="106" customFormat="1" ht="21" customHeight="1">
      <c r="A149" s="16"/>
      <c r="B149" s="103"/>
      <c r="C149" s="104"/>
      <c r="D149" s="104"/>
      <c r="E149" s="105" t="s">
        <v>108</v>
      </c>
      <c r="F149" s="230" t="s">
        <v>662</v>
      </c>
      <c r="G149" s="230"/>
      <c r="H149" s="230"/>
      <c r="I149" s="230"/>
      <c r="J149" s="230"/>
      <c r="K149" s="230"/>
      <c r="L149" s="230"/>
      <c r="M149" s="230"/>
      <c r="R149" s="107"/>
      <c r="T149" s="108"/>
      <c r="AT149" s="109" t="s">
        <v>660</v>
      </c>
      <c r="AU149" s="109" t="s">
        <v>67</v>
      </c>
      <c r="AV149" s="106" t="s">
        <v>67</v>
      </c>
      <c r="AW149" s="106" t="s">
        <v>661</v>
      </c>
      <c r="AX149" s="106" t="s">
        <v>56</v>
      </c>
      <c r="AY149" s="109" t="s">
        <v>115</v>
      </c>
    </row>
    <row r="150" spans="1:51" s="77" customFormat="1" ht="29.85" customHeight="1">
      <c r="B150" s="76"/>
      <c r="D150" s="86" t="s">
        <v>355</v>
      </c>
      <c r="E150" s="86"/>
      <c r="F150" s="86"/>
      <c r="G150" s="86"/>
      <c r="H150" s="86"/>
      <c r="I150" s="86"/>
      <c r="J150" s="86"/>
      <c r="K150" s="86"/>
      <c r="L150" s="86"/>
      <c r="M150" s="86"/>
      <c r="N150" s="202">
        <f>SUM(N151:Q166)</f>
        <v>0</v>
      </c>
      <c r="O150" s="203"/>
      <c r="P150" s="203"/>
      <c r="Q150" s="203"/>
      <c r="R150" s="79"/>
    </row>
    <row r="151" spans="1:51" s="16" customFormat="1" ht="38.25" customHeight="1">
      <c r="B151" s="17"/>
      <c r="C151" s="87">
        <f>+C148+1</f>
        <v>18</v>
      </c>
      <c r="D151" s="87" t="s">
        <v>116</v>
      </c>
      <c r="E151" s="88" t="s">
        <v>424</v>
      </c>
      <c r="F151" s="192" t="s">
        <v>646</v>
      </c>
      <c r="G151" s="192"/>
      <c r="H151" s="192"/>
      <c r="I151" s="192"/>
      <c r="J151" s="89" t="s">
        <v>138</v>
      </c>
      <c r="K151" s="90">
        <f>4*4</f>
        <v>16</v>
      </c>
      <c r="L151" s="193"/>
      <c r="M151" s="194"/>
      <c r="N151" s="195">
        <f t="shared" ref="N151:N166" si="2">ROUND(L151*K151,2)</f>
        <v>0</v>
      </c>
      <c r="O151" s="195"/>
      <c r="P151" s="195"/>
      <c r="Q151" s="195"/>
      <c r="R151" s="19"/>
    </row>
    <row r="152" spans="1:51" s="16" customFormat="1" ht="25.5" customHeight="1">
      <c r="B152" s="17"/>
      <c r="C152" s="97">
        <f>+C151+1</f>
        <v>19</v>
      </c>
      <c r="D152" s="97" t="s">
        <v>166</v>
      </c>
      <c r="E152" s="117" t="s">
        <v>540</v>
      </c>
      <c r="F152" s="198" t="s">
        <v>652</v>
      </c>
      <c r="G152" s="198"/>
      <c r="H152" s="198"/>
      <c r="I152" s="198"/>
      <c r="J152" s="99" t="s">
        <v>138</v>
      </c>
      <c r="K152" s="100">
        <v>16</v>
      </c>
      <c r="L152" s="193"/>
      <c r="M152" s="194"/>
      <c r="N152" s="199">
        <f>ROUND(L152*K152,2)</f>
        <v>0</v>
      </c>
      <c r="O152" s="195"/>
      <c r="P152" s="195"/>
      <c r="Q152" s="195"/>
      <c r="R152" s="19"/>
    </row>
    <row r="153" spans="1:51" s="16" customFormat="1" ht="38.25" customHeight="1">
      <c r="B153" s="17"/>
      <c r="C153" s="87">
        <f t="shared" ref="C153:C164" si="3">+C152+1</f>
        <v>20</v>
      </c>
      <c r="D153" s="87" t="s">
        <v>116</v>
      </c>
      <c r="E153" s="88" t="s">
        <v>425</v>
      </c>
      <c r="F153" s="192" t="s">
        <v>650</v>
      </c>
      <c r="G153" s="192"/>
      <c r="H153" s="192"/>
      <c r="I153" s="192"/>
      <c r="J153" s="89" t="s">
        <v>138</v>
      </c>
      <c r="K153" s="90">
        <f>2*4</f>
        <v>8</v>
      </c>
      <c r="L153" s="193"/>
      <c r="M153" s="194"/>
      <c r="N153" s="195">
        <f t="shared" ref="N153" si="4">ROUND(L153*K153,2)</f>
        <v>0</v>
      </c>
      <c r="O153" s="195"/>
      <c r="P153" s="195"/>
      <c r="Q153" s="195"/>
      <c r="R153" s="19"/>
    </row>
    <row r="154" spans="1:51" s="16" customFormat="1" ht="25.5" customHeight="1">
      <c r="B154" s="17"/>
      <c r="C154" s="97">
        <f t="shared" si="3"/>
        <v>21</v>
      </c>
      <c r="D154" s="97" t="s">
        <v>166</v>
      </c>
      <c r="E154" s="118" t="s">
        <v>541</v>
      </c>
      <c r="F154" s="198" t="s">
        <v>651</v>
      </c>
      <c r="G154" s="198"/>
      <c r="H154" s="198"/>
      <c r="I154" s="198"/>
      <c r="J154" s="99" t="s">
        <v>138</v>
      </c>
      <c r="K154" s="100">
        <v>8</v>
      </c>
      <c r="L154" s="193"/>
      <c r="M154" s="194"/>
      <c r="N154" s="199">
        <f>ROUND(L154*K154,2)</f>
        <v>0</v>
      </c>
      <c r="O154" s="195"/>
      <c r="P154" s="195"/>
      <c r="Q154" s="195"/>
      <c r="R154" s="19"/>
    </row>
    <row r="155" spans="1:51" s="16" customFormat="1" ht="38.25" customHeight="1">
      <c r="B155" s="17"/>
      <c r="C155" s="87">
        <f t="shared" si="3"/>
        <v>22</v>
      </c>
      <c r="D155" s="87" t="s">
        <v>116</v>
      </c>
      <c r="E155" s="88" t="s">
        <v>425</v>
      </c>
      <c r="F155" s="192" t="s">
        <v>649</v>
      </c>
      <c r="G155" s="192"/>
      <c r="H155" s="192"/>
      <c r="I155" s="192"/>
      <c r="J155" s="89" t="s">
        <v>138</v>
      </c>
      <c r="K155" s="90">
        <f>2*4</f>
        <v>8</v>
      </c>
      <c r="L155" s="193"/>
      <c r="M155" s="194"/>
      <c r="N155" s="195">
        <f t="shared" ref="N155" si="5">ROUND(L155*K155,2)</f>
        <v>0</v>
      </c>
      <c r="O155" s="195"/>
      <c r="P155" s="195"/>
      <c r="Q155" s="195"/>
      <c r="R155" s="19"/>
    </row>
    <row r="156" spans="1:51" s="16" customFormat="1" ht="25.5" customHeight="1">
      <c r="B156" s="17"/>
      <c r="C156" s="97">
        <f t="shared" si="3"/>
        <v>23</v>
      </c>
      <c r="D156" s="97" t="s">
        <v>166</v>
      </c>
      <c r="E156" s="118" t="s">
        <v>541</v>
      </c>
      <c r="F156" s="198" t="s">
        <v>653</v>
      </c>
      <c r="G156" s="198"/>
      <c r="H156" s="198"/>
      <c r="I156" s="198"/>
      <c r="J156" s="99" t="s">
        <v>138</v>
      </c>
      <c r="K156" s="100">
        <v>8</v>
      </c>
      <c r="L156" s="193"/>
      <c r="M156" s="194"/>
      <c r="N156" s="199">
        <f>ROUND(L156*K156,2)</f>
        <v>0</v>
      </c>
      <c r="O156" s="195"/>
      <c r="P156" s="195"/>
      <c r="Q156" s="195"/>
      <c r="R156" s="19"/>
    </row>
    <row r="157" spans="1:51" s="16" customFormat="1" ht="25.5" customHeight="1">
      <c r="B157" s="17"/>
      <c r="C157" s="87">
        <f>+C154+1</f>
        <v>22</v>
      </c>
      <c r="D157" s="87" t="s">
        <v>116</v>
      </c>
      <c r="E157" s="88" t="s">
        <v>426</v>
      </c>
      <c r="F157" s="192" t="s">
        <v>647</v>
      </c>
      <c r="G157" s="192"/>
      <c r="H157" s="192"/>
      <c r="I157" s="192"/>
      <c r="J157" s="89" t="s">
        <v>138</v>
      </c>
      <c r="K157" s="90">
        <v>16</v>
      </c>
      <c r="L157" s="193"/>
      <c r="M157" s="194"/>
      <c r="N157" s="195">
        <f t="shared" si="2"/>
        <v>0</v>
      </c>
      <c r="O157" s="195"/>
      <c r="P157" s="195"/>
      <c r="Q157" s="195"/>
      <c r="R157" s="19"/>
    </row>
    <row r="158" spans="1:51" s="16" customFormat="1" ht="25.5" customHeight="1">
      <c r="B158" s="17"/>
      <c r="C158" s="97">
        <f t="shared" si="3"/>
        <v>23</v>
      </c>
      <c r="D158" s="97" t="s">
        <v>166</v>
      </c>
      <c r="E158" s="118" t="s">
        <v>542</v>
      </c>
      <c r="F158" s="198" t="s">
        <v>648</v>
      </c>
      <c r="G158" s="198"/>
      <c r="H158" s="198"/>
      <c r="I158" s="198"/>
      <c r="J158" s="99" t="s">
        <v>138</v>
      </c>
      <c r="K158" s="100">
        <v>16</v>
      </c>
      <c r="L158" s="193"/>
      <c r="M158" s="194"/>
      <c r="N158" s="199">
        <f>ROUND(L158*K158,2)</f>
        <v>0</v>
      </c>
      <c r="O158" s="195"/>
      <c r="P158" s="195"/>
      <c r="Q158" s="195"/>
      <c r="R158" s="19"/>
    </row>
    <row r="159" spans="1:51" s="16" customFormat="1" ht="25.5" customHeight="1">
      <c r="B159" s="17"/>
      <c r="C159" s="87">
        <f>+C156+1</f>
        <v>24</v>
      </c>
      <c r="D159" s="87" t="s">
        <v>116</v>
      </c>
      <c r="E159" s="88" t="s">
        <v>657</v>
      </c>
      <c r="F159" s="192" t="s">
        <v>656</v>
      </c>
      <c r="G159" s="192"/>
      <c r="H159" s="192"/>
      <c r="I159" s="192"/>
      <c r="J159" s="89" t="s">
        <v>138</v>
      </c>
      <c r="K159" s="90">
        <v>4</v>
      </c>
      <c r="L159" s="193"/>
      <c r="M159" s="194"/>
      <c r="N159" s="195">
        <f t="shared" ref="N159" si="6">ROUND(L159*K159,2)</f>
        <v>0</v>
      </c>
      <c r="O159" s="195"/>
      <c r="P159" s="195"/>
      <c r="Q159" s="195"/>
      <c r="R159" s="19"/>
    </row>
    <row r="160" spans="1:51" s="16" customFormat="1" ht="25.5" customHeight="1">
      <c r="B160" s="17"/>
      <c r="C160" s="97">
        <f t="shared" si="3"/>
        <v>25</v>
      </c>
      <c r="D160" s="97" t="s">
        <v>166</v>
      </c>
      <c r="E160" s="118" t="s">
        <v>658</v>
      </c>
      <c r="F160" s="198" t="s">
        <v>659</v>
      </c>
      <c r="G160" s="198"/>
      <c r="H160" s="198"/>
      <c r="I160" s="198"/>
      <c r="J160" s="99" t="s">
        <v>138</v>
      </c>
      <c r="K160" s="100">
        <v>4</v>
      </c>
      <c r="L160" s="193"/>
      <c r="M160" s="194"/>
      <c r="N160" s="199">
        <f>ROUND(L160*K160,2)</f>
        <v>0</v>
      </c>
      <c r="O160" s="195"/>
      <c r="P160" s="195"/>
      <c r="Q160" s="195"/>
      <c r="R160" s="19"/>
    </row>
    <row r="161" spans="2:18" s="16" customFormat="1" ht="48.75" customHeight="1">
      <c r="B161" s="17"/>
      <c r="C161" s="87">
        <f>+C158+1</f>
        <v>24</v>
      </c>
      <c r="D161" s="87" t="s">
        <v>116</v>
      </c>
      <c r="E161" s="88" t="s">
        <v>543</v>
      </c>
      <c r="F161" s="192" t="s">
        <v>544</v>
      </c>
      <c r="G161" s="192"/>
      <c r="H161" s="192"/>
      <c r="I161" s="192"/>
      <c r="J161" s="89" t="s">
        <v>135</v>
      </c>
      <c r="K161" s="90">
        <v>88.8</v>
      </c>
      <c r="L161" s="193"/>
      <c r="M161" s="194"/>
      <c r="N161" s="195">
        <f t="shared" si="2"/>
        <v>0</v>
      </c>
      <c r="O161" s="195"/>
      <c r="P161" s="195"/>
      <c r="Q161" s="195"/>
      <c r="R161" s="19"/>
    </row>
    <row r="162" spans="2:18" s="16" customFormat="1" ht="38.25" customHeight="1">
      <c r="B162" s="17"/>
      <c r="C162" s="87">
        <f t="shared" si="3"/>
        <v>25</v>
      </c>
      <c r="D162" s="87" t="s">
        <v>116</v>
      </c>
      <c r="E162" s="88" t="s">
        <v>427</v>
      </c>
      <c r="F162" s="192" t="s">
        <v>428</v>
      </c>
      <c r="G162" s="192"/>
      <c r="H162" s="192"/>
      <c r="I162" s="192"/>
      <c r="J162" s="89" t="s">
        <v>135</v>
      </c>
      <c r="K162" s="90">
        <f>4*5</f>
        <v>20</v>
      </c>
      <c r="L162" s="193"/>
      <c r="M162" s="194"/>
      <c r="N162" s="195">
        <f t="shared" si="2"/>
        <v>0</v>
      </c>
      <c r="O162" s="195"/>
      <c r="P162" s="195"/>
      <c r="Q162" s="195"/>
      <c r="R162" s="19"/>
    </row>
    <row r="163" spans="2:18" s="16" customFormat="1" ht="38.25" customHeight="1">
      <c r="B163" s="17"/>
      <c r="C163" s="87">
        <f t="shared" si="3"/>
        <v>26</v>
      </c>
      <c r="D163" s="87" t="s">
        <v>116</v>
      </c>
      <c r="E163" s="88" t="s">
        <v>429</v>
      </c>
      <c r="F163" s="192" t="s">
        <v>545</v>
      </c>
      <c r="G163" s="192"/>
      <c r="H163" s="192"/>
      <c r="I163" s="192"/>
      <c r="J163" s="89" t="s">
        <v>135</v>
      </c>
      <c r="K163" s="90">
        <v>48</v>
      </c>
      <c r="L163" s="193"/>
      <c r="M163" s="194"/>
      <c r="N163" s="195">
        <f t="shared" si="2"/>
        <v>0</v>
      </c>
      <c r="O163" s="195"/>
      <c r="P163" s="195"/>
      <c r="Q163" s="195"/>
      <c r="R163" s="19"/>
    </row>
    <row r="164" spans="2:18" s="16" customFormat="1" ht="129.75" customHeight="1">
      <c r="B164" s="17"/>
      <c r="C164" s="87">
        <f t="shared" si="3"/>
        <v>27</v>
      </c>
      <c r="D164" s="87" t="s">
        <v>116</v>
      </c>
      <c r="E164" s="88" t="s">
        <v>430</v>
      </c>
      <c r="F164" s="192" t="s">
        <v>539</v>
      </c>
      <c r="G164" s="192"/>
      <c r="H164" s="192"/>
      <c r="I164" s="192"/>
      <c r="J164" s="89" t="s">
        <v>142</v>
      </c>
      <c r="K164" s="90">
        <v>4</v>
      </c>
      <c r="L164" s="193"/>
      <c r="M164" s="194"/>
      <c r="N164" s="195">
        <f t="shared" si="2"/>
        <v>0</v>
      </c>
      <c r="O164" s="195"/>
      <c r="P164" s="195"/>
      <c r="Q164" s="195"/>
      <c r="R164" s="19"/>
    </row>
    <row r="165" spans="2:18" s="16" customFormat="1" ht="42.75" customHeight="1">
      <c r="B165" s="17"/>
      <c r="C165" s="87" t="s">
        <v>642</v>
      </c>
      <c r="D165" s="87" t="s">
        <v>116</v>
      </c>
      <c r="E165" s="88" t="s">
        <v>644</v>
      </c>
      <c r="F165" s="192" t="s">
        <v>643</v>
      </c>
      <c r="G165" s="192"/>
      <c r="H165" s="192"/>
      <c r="I165" s="192"/>
      <c r="J165" s="89" t="s">
        <v>142</v>
      </c>
      <c r="K165" s="90">
        <v>4</v>
      </c>
      <c r="L165" s="193"/>
      <c r="M165" s="194"/>
      <c r="N165" s="195">
        <f t="shared" ref="N165" si="7">ROUND(L165*K165,2)</f>
        <v>0</v>
      </c>
      <c r="O165" s="195"/>
      <c r="P165" s="195"/>
      <c r="Q165" s="195"/>
      <c r="R165" s="19"/>
    </row>
    <row r="166" spans="2:18" s="16" customFormat="1" ht="25.5" customHeight="1">
      <c r="B166" s="17"/>
      <c r="C166" s="87">
        <f>+C164+1</f>
        <v>28</v>
      </c>
      <c r="D166" s="87" t="s">
        <v>116</v>
      </c>
      <c r="E166" s="88" t="s">
        <v>431</v>
      </c>
      <c r="F166" s="192" t="s">
        <v>432</v>
      </c>
      <c r="G166" s="192"/>
      <c r="H166" s="192"/>
      <c r="I166" s="192"/>
      <c r="J166" s="89" t="s">
        <v>261</v>
      </c>
      <c r="K166" s="3"/>
      <c r="L166" s="193"/>
      <c r="M166" s="194"/>
      <c r="N166" s="195">
        <f t="shared" si="2"/>
        <v>0</v>
      </c>
      <c r="O166" s="195"/>
      <c r="P166" s="195"/>
      <c r="Q166" s="195"/>
      <c r="R166" s="19"/>
    </row>
    <row r="167" spans="2:18" s="77" customFormat="1" ht="29.85" customHeight="1">
      <c r="B167" s="76"/>
      <c r="D167" s="86" t="s">
        <v>410</v>
      </c>
      <c r="E167" s="86"/>
      <c r="F167" s="86"/>
      <c r="G167" s="86"/>
      <c r="H167" s="86"/>
      <c r="I167" s="86"/>
      <c r="J167" s="86"/>
      <c r="K167" s="86"/>
      <c r="L167" s="86"/>
      <c r="M167" s="86"/>
      <c r="N167" s="202">
        <f>SUM(N168:Q169)</f>
        <v>0</v>
      </c>
      <c r="O167" s="203"/>
      <c r="P167" s="203"/>
      <c r="Q167" s="203"/>
      <c r="R167" s="79"/>
    </row>
    <row r="168" spans="2:18" s="16" customFormat="1" ht="51" customHeight="1">
      <c r="B168" s="17"/>
      <c r="C168" s="87">
        <f>+C166+1</f>
        <v>29</v>
      </c>
      <c r="D168" s="87" t="s">
        <v>116</v>
      </c>
      <c r="E168" s="88" t="s">
        <v>433</v>
      </c>
      <c r="F168" s="192" t="s">
        <v>434</v>
      </c>
      <c r="G168" s="192"/>
      <c r="H168" s="192"/>
      <c r="I168" s="192"/>
      <c r="J168" s="89" t="s">
        <v>119</v>
      </c>
      <c r="K168" s="90">
        <v>114</v>
      </c>
      <c r="L168" s="193"/>
      <c r="M168" s="194"/>
      <c r="N168" s="195">
        <f>ROUND(L168*K168,2)</f>
        <v>0</v>
      </c>
      <c r="O168" s="195"/>
      <c r="P168" s="195"/>
      <c r="Q168" s="195"/>
      <c r="R168" s="19"/>
    </row>
    <row r="169" spans="2:18" s="16" customFormat="1" ht="25.5" customHeight="1">
      <c r="B169" s="17"/>
      <c r="C169" s="87">
        <f>+C168+1</f>
        <v>30</v>
      </c>
      <c r="D169" s="87" t="s">
        <v>116</v>
      </c>
      <c r="E169" s="88" t="s">
        <v>435</v>
      </c>
      <c r="F169" s="192" t="s">
        <v>436</v>
      </c>
      <c r="G169" s="192"/>
      <c r="H169" s="192"/>
      <c r="I169" s="192"/>
      <c r="J169" s="89" t="s">
        <v>261</v>
      </c>
      <c r="K169" s="3"/>
      <c r="L169" s="193"/>
      <c r="M169" s="194"/>
      <c r="N169" s="195">
        <f>ROUND(L169*K169,2)</f>
        <v>0</v>
      </c>
      <c r="O169" s="195"/>
      <c r="P169" s="195"/>
      <c r="Q169" s="195"/>
      <c r="R169" s="19"/>
    </row>
    <row r="170" spans="2:18" s="77" customFormat="1" ht="19.95" customHeight="1">
      <c r="B170" s="76"/>
      <c r="D170" s="86" t="s">
        <v>530</v>
      </c>
      <c r="E170" s="86"/>
      <c r="F170" s="86"/>
      <c r="G170" s="86"/>
      <c r="H170" s="86"/>
      <c r="I170" s="86"/>
      <c r="J170" s="86"/>
      <c r="K170" s="86"/>
      <c r="L170" s="86"/>
      <c r="M170" s="86"/>
      <c r="N170" s="200">
        <f>+N140+N123</f>
        <v>0</v>
      </c>
      <c r="O170" s="201"/>
      <c r="P170" s="201"/>
      <c r="Q170" s="201"/>
      <c r="R170" s="79"/>
    </row>
    <row r="171" spans="2:18" s="77" customFormat="1" ht="37.35" customHeight="1">
      <c r="B171" s="76"/>
      <c r="D171" s="78" t="s">
        <v>96</v>
      </c>
      <c r="E171" s="78"/>
      <c r="F171" s="78"/>
      <c r="G171" s="78"/>
      <c r="H171" s="78"/>
      <c r="I171" s="78"/>
      <c r="J171" s="78"/>
      <c r="K171" s="78"/>
      <c r="L171" s="78"/>
      <c r="M171" s="78"/>
      <c r="N171" s="196">
        <f>+N172+N174+N176+N178</f>
        <v>0</v>
      </c>
      <c r="O171" s="197"/>
      <c r="P171" s="197"/>
      <c r="Q171" s="197"/>
      <c r="R171" s="79"/>
    </row>
    <row r="172" spans="2:18" s="77" customFormat="1" ht="19.95" customHeight="1">
      <c r="B172" s="76"/>
      <c r="D172" s="86" t="s">
        <v>97</v>
      </c>
      <c r="E172" s="86"/>
      <c r="F172" s="86"/>
      <c r="G172" s="86"/>
      <c r="H172" s="86"/>
      <c r="I172" s="86"/>
      <c r="J172" s="86"/>
      <c r="K172" s="86"/>
      <c r="L172" s="86"/>
      <c r="M172" s="86"/>
      <c r="N172" s="200">
        <f>+N173</f>
        <v>0</v>
      </c>
      <c r="O172" s="201"/>
      <c r="P172" s="201"/>
      <c r="Q172" s="201"/>
      <c r="R172" s="79"/>
    </row>
    <row r="173" spans="2:18" s="16" customFormat="1" ht="16.5" customHeight="1">
      <c r="B173" s="17"/>
      <c r="C173" s="87">
        <f>+C169+1</f>
        <v>31</v>
      </c>
      <c r="D173" s="87" t="s">
        <v>116</v>
      </c>
      <c r="E173" s="88" t="s">
        <v>339</v>
      </c>
      <c r="F173" s="192" t="s">
        <v>340</v>
      </c>
      <c r="G173" s="192"/>
      <c r="H173" s="192"/>
      <c r="I173" s="192"/>
      <c r="J173" s="89" t="s">
        <v>261</v>
      </c>
      <c r="K173" s="3"/>
      <c r="L173" s="195">
        <f>+N170</f>
        <v>0</v>
      </c>
      <c r="M173" s="195"/>
      <c r="N173" s="195">
        <f>ROUND(L173*K173/100,2)</f>
        <v>0</v>
      </c>
      <c r="O173" s="195"/>
      <c r="P173" s="195"/>
      <c r="Q173" s="195"/>
      <c r="R173" s="19"/>
    </row>
    <row r="174" spans="2:18" s="77" customFormat="1" ht="29.85" customHeight="1">
      <c r="B174" s="76"/>
      <c r="D174" s="86" t="s">
        <v>98</v>
      </c>
      <c r="E174" s="86"/>
      <c r="F174" s="86"/>
      <c r="G174" s="86"/>
      <c r="H174" s="86"/>
      <c r="I174" s="86"/>
      <c r="J174" s="86"/>
      <c r="K174" s="86"/>
      <c r="L174" s="86"/>
      <c r="M174" s="86"/>
      <c r="N174" s="202">
        <f>+N175</f>
        <v>0</v>
      </c>
      <c r="O174" s="203"/>
      <c r="P174" s="203"/>
      <c r="Q174" s="203"/>
      <c r="R174" s="79"/>
    </row>
    <row r="175" spans="2:18" s="16" customFormat="1" ht="16.5" customHeight="1">
      <c r="B175" s="17"/>
      <c r="C175" s="87">
        <f>+C173+1</f>
        <v>32</v>
      </c>
      <c r="D175" s="87" t="s">
        <v>116</v>
      </c>
      <c r="E175" s="88" t="s">
        <v>343</v>
      </c>
      <c r="F175" s="192" t="s">
        <v>344</v>
      </c>
      <c r="G175" s="192"/>
      <c r="H175" s="192"/>
      <c r="I175" s="192"/>
      <c r="J175" s="89" t="s">
        <v>261</v>
      </c>
      <c r="K175" s="3"/>
      <c r="L175" s="195">
        <f>+N170</f>
        <v>0</v>
      </c>
      <c r="M175" s="195"/>
      <c r="N175" s="195">
        <f>ROUND(L175*K175/100,2)</f>
        <v>0</v>
      </c>
      <c r="O175" s="195"/>
      <c r="P175" s="195"/>
      <c r="Q175" s="195"/>
      <c r="R175" s="19"/>
    </row>
    <row r="176" spans="2:18" s="77" customFormat="1" ht="29.85" customHeight="1">
      <c r="B176" s="76"/>
      <c r="D176" s="86" t="s">
        <v>99</v>
      </c>
      <c r="E176" s="86"/>
      <c r="F176" s="86"/>
      <c r="G176" s="86"/>
      <c r="H176" s="86"/>
      <c r="I176" s="86"/>
      <c r="J176" s="86"/>
      <c r="K176" s="86"/>
      <c r="L176" s="86"/>
      <c r="M176" s="86"/>
      <c r="N176" s="202">
        <f>+N177</f>
        <v>0</v>
      </c>
      <c r="O176" s="203"/>
      <c r="P176" s="203"/>
      <c r="Q176" s="203"/>
      <c r="R176" s="79"/>
    </row>
    <row r="177" spans="2:18" s="16" customFormat="1" ht="16.5" customHeight="1">
      <c r="B177" s="17"/>
      <c r="C177" s="87">
        <f>+C175+1</f>
        <v>33</v>
      </c>
      <c r="D177" s="87" t="s">
        <v>116</v>
      </c>
      <c r="E177" s="88" t="s">
        <v>346</v>
      </c>
      <c r="F177" s="192" t="s">
        <v>347</v>
      </c>
      <c r="G177" s="192"/>
      <c r="H177" s="192"/>
      <c r="I177" s="192"/>
      <c r="J177" s="89" t="s">
        <v>261</v>
      </c>
      <c r="K177" s="3"/>
      <c r="L177" s="195">
        <f>+N170</f>
        <v>0</v>
      </c>
      <c r="M177" s="195"/>
      <c r="N177" s="195">
        <f>ROUND(L177*K177/100,2)</f>
        <v>0</v>
      </c>
      <c r="O177" s="195"/>
      <c r="P177" s="195"/>
      <c r="Q177" s="195"/>
      <c r="R177" s="19"/>
    </row>
    <row r="178" spans="2:18" s="77" customFormat="1" ht="29.85" customHeight="1">
      <c r="B178" s="76"/>
      <c r="D178" s="86" t="s">
        <v>100</v>
      </c>
      <c r="E178" s="86"/>
      <c r="F178" s="86"/>
      <c r="G178" s="86"/>
      <c r="H178" s="86"/>
      <c r="I178" s="86"/>
      <c r="J178" s="86"/>
      <c r="K178" s="86"/>
      <c r="L178" s="86"/>
      <c r="M178" s="86"/>
      <c r="N178" s="202">
        <f>+N179</f>
        <v>0</v>
      </c>
      <c r="O178" s="203"/>
      <c r="P178" s="203"/>
      <c r="Q178" s="203"/>
      <c r="R178" s="79"/>
    </row>
    <row r="179" spans="2:18" s="16" customFormat="1" ht="16.5" customHeight="1">
      <c r="B179" s="17"/>
      <c r="C179" s="87">
        <f>+C177+1</f>
        <v>34</v>
      </c>
      <c r="D179" s="87" t="s">
        <v>116</v>
      </c>
      <c r="E179" s="88" t="s">
        <v>349</v>
      </c>
      <c r="F179" s="192" t="s">
        <v>350</v>
      </c>
      <c r="G179" s="192"/>
      <c r="H179" s="192"/>
      <c r="I179" s="192"/>
      <c r="J179" s="89" t="s">
        <v>261</v>
      </c>
      <c r="K179" s="3"/>
      <c r="L179" s="195">
        <f>+N170</f>
        <v>0</v>
      </c>
      <c r="M179" s="195"/>
      <c r="N179" s="195">
        <f>ROUND(L179*K179/100,2)</f>
        <v>0</v>
      </c>
      <c r="O179" s="195"/>
      <c r="P179" s="195"/>
      <c r="Q179" s="195"/>
      <c r="R179" s="19"/>
    </row>
    <row r="180" spans="2:18" s="16" customFormat="1" ht="6.9" customHeight="1">
      <c r="B180" s="42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4"/>
    </row>
  </sheetData>
  <sheetProtection algorithmName="SHA-512" hashValue="0lpnI669J0MmcFOa1UV2JQ8upWFT6b1tZb8jcefIYxtjIyUfQyBhPTMZkFQ5CIPPOF216+ayhhlD06yf7gcbrw==" saltValue="xP/LZ5aHr+cs6Aa4PGHCfA==" spinCount="100000" sheet="1" objects="1" scenarios="1" selectLockedCells="1"/>
  <mergeCells count="200">
    <mergeCell ref="F159:I159"/>
    <mergeCell ref="L159:M159"/>
    <mergeCell ref="N159:Q159"/>
    <mergeCell ref="F160:I160"/>
    <mergeCell ref="L160:M160"/>
    <mergeCell ref="N160:Q160"/>
    <mergeCell ref="F149:M149"/>
    <mergeCell ref="N176:Q176"/>
    <mergeCell ref="F177:I177"/>
    <mergeCell ref="L177:M177"/>
    <mergeCell ref="N177:Q177"/>
    <mergeCell ref="F153:I153"/>
    <mergeCell ref="L153:M153"/>
    <mergeCell ref="N153:Q153"/>
    <mergeCell ref="F154:I154"/>
    <mergeCell ref="L154:M154"/>
    <mergeCell ref="N154:Q154"/>
    <mergeCell ref="F158:I158"/>
    <mergeCell ref="L158:M158"/>
    <mergeCell ref="N158:Q158"/>
    <mergeCell ref="F157:I157"/>
    <mergeCell ref="L157:M157"/>
    <mergeCell ref="N157:Q157"/>
    <mergeCell ref="F155:I155"/>
    <mergeCell ref="N178:Q178"/>
    <mergeCell ref="F179:I179"/>
    <mergeCell ref="L179:M179"/>
    <mergeCell ref="N179:Q179"/>
    <mergeCell ref="N170:Q170"/>
    <mergeCell ref="N171:Q171"/>
    <mergeCell ref="N172:Q172"/>
    <mergeCell ref="F173:I173"/>
    <mergeCell ref="L173:M173"/>
    <mergeCell ref="N173:Q173"/>
    <mergeCell ref="N174:Q174"/>
    <mergeCell ref="F175:I175"/>
    <mergeCell ref="L175:M175"/>
    <mergeCell ref="N175:Q175"/>
    <mergeCell ref="L155:M155"/>
    <mergeCell ref="N155:Q155"/>
    <mergeCell ref="F156:I156"/>
    <mergeCell ref="L156:M156"/>
    <mergeCell ref="N156:Q156"/>
    <mergeCell ref="C2:Q2"/>
    <mergeCell ref="C4:Q4"/>
    <mergeCell ref="F6:P6"/>
    <mergeCell ref="F7:P7"/>
    <mergeCell ref="O11:P11"/>
    <mergeCell ref="O12:P12"/>
    <mergeCell ref="O9:R9"/>
    <mergeCell ref="O14:R14"/>
    <mergeCell ref="O15:R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E21:L21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N98:Q98"/>
    <mergeCell ref="N99:Q99"/>
    <mergeCell ref="N100:Q100"/>
    <mergeCell ref="N101:Q101"/>
    <mergeCell ref="N103:Q103"/>
    <mergeCell ref="L105:Q105"/>
    <mergeCell ref="C111:Q111"/>
    <mergeCell ref="F113:P113"/>
    <mergeCell ref="F114:P114"/>
    <mergeCell ref="M116:P116"/>
    <mergeCell ref="M118:Q118"/>
    <mergeCell ref="M119:Q119"/>
    <mergeCell ref="F121:I121"/>
    <mergeCell ref="L121:M121"/>
    <mergeCell ref="N121:Q121"/>
    <mergeCell ref="F125:I125"/>
    <mergeCell ref="L125:M125"/>
    <mergeCell ref="N125:Q125"/>
    <mergeCell ref="F137:I137"/>
    <mergeCell ref="L137:M137"/>
    <mergeCell ref="N137:Q137"/>
    <mergeCell ref="F126:I126"/>
    <mergeCell ref="L126:M126"/>
    <mergeCell ref="N126:Q126"/>
    <mergeCell ref="F128:I128"/>
    <mergeCell ref="L128:M128"/>
    <mergeCell ref="N128:Q128"/>
    <mergeCell ref="F139:I139"/>
    <mergeCell ref="L139:M139"/>
    <mergeCell ref="N139:Q139"/>
    <mergeCell ref="F142:I142"/>
    <mergeCell ref="L142:M142"/>
    <mergeCell ref="N142:Q142"/>
    <mergeCell ref="F130:I130"/>
    <mergeCell ref="L130:M130"/>
    <mergeCell ref="N130:Q130"/>
    <mergeCell ref="F131:I131"/>
    <mergeCell ref="L131:M131"/>
    <mergeCell ref="N131:Q131"/>
    <mergeCell ref="F133:I133"/>
    <mergeCell ref="L133:M133"/>
    <mergeCell ref="N133:Q133"/>
    <mergeCell ref="F134:I134"/>
    <mergeCell ref="L134:M134"/>
    <mergeCell ref="N134:Q134"/>
    <mergeCell ref="F135:I135"/>
    <mergeCell ref="L135:M135"/>
    <mergeCell ref="N135:Q135"/>
    <mergeCell ref="F136:I136"/>
    <mergeCell ref="L136:M136"/>
    <mergeCell ref="N136:Q136"/>
    <mergeCell ref="F148:I148"/>
    <mergeCell ref="L148:M148"/>
    <mergeCell ref="N148:Q148"/>
    <mergeCell ref="F151:I151"/>
    <mergeCell ref="L151:M151"/>
    <mergeCell ref="N151:Q151"/>
    <mergeCell ref="F152:I152"/>
    <mergeCell ref="L152:M152"/>
    <mergeCell ref="N152:Q152"/>
    <mergeCell ref="N150:Q150"/>
    <mergeCell ref="F161:I161"/>
    <mergeCell ref="L161:M161"/>
    <mergeCell ref="N161:Q161"/>
    <mergeCell ref="F162:I162"/>
    <mergeCell ref="L162:M162"/>
    <mergeCell ref="N162:Q162"/>
    <mergeCell ref="N166:Q166"/>
    <mergeCell ref="F168:I168"/>
    <mergeCell ref="L168:M168"/>
    <mergeCell ref="N168:Q168"/>
    <mergeCell ref="F169:I169"/>
    <mergeCell ref="L169:M169"/>
    <mergeCell ref="N169:Q169"/>
    <mergeCell ref="F163:I163"/>
    <mergeCell ref="L163:M163"/>
    <mergeCell ref="N163:Q163"/>
    <mergeCell ref="F164:I164"/>
    <mergeCell ref="L164:M164"/>
    <mergeCell ref="N164:Q164"/>
    <mergeCell ref="N167:Q167"/>
    <mergeCell ref="F166:I166"/>
    <mergeCell ref="L166:M166"/>
    <mergeCell ref="F165:I165"/>
    <mergeCell ref="L165:M165"/>
    <mergeCell ref="N165:Q165"/>
    <mergeCell ref="F147:I147"/>
    <mergeCell ref="L147:M147"/>
    <mergeCell ref="N147:Q147"/>
    <mergeCell ref="H1:K1"/>
    <mergeCell ref="N122:Q122"/>
    <mergeCell ref="N123:Q123"/>
    <mergeCell ref="N124:Q124"/>
    <mergeCell ref="N127:Q127"/>
    <mergeCell ref="N129:Q129"/>
    <mergeCell ref="N132:Q132"/>
    <mergeCell ref="N138:Q138"/>
    <mergeCell ref="N140:Q140"/>
    <mergeCell ref="N141:Q141"/>
    <mergeCell ref="N145:Q145"/>
    <mergeCell ref="F143:I143"/>
    <mergeCell ref="L143:M143"/>
    <mergeCell ref="N143:Q143"/>
    <mergeCell ref="F144:I144"/>
    <mergeCell ref="L144:M144"/>
    <mergeCell ref="N144:Q144"/>
    <mergeCell ref="F146:I146"/>
    <mergeCell ref="L146:M146"/>
    <mergeCell ref="N146:Q146"/>
    <mergeCell ref="E15:L15"/>
  </mergeCells>
  <hyperlinks>
    <hyperlink ref="F1:G1" location="C2" display="1) Krycí list rozpočtu" xr:uid="{00000000-0004-0000-0300-000000000000}"/>
    <hyperlink ref="H1:K1" location="C86" display="2) Rekapitulace rozpočtu" xr:uid="{00000000-0004-0000-0300-000001000000}"/>
    <hyperlink ref="L1" location="C121" display="3) Rozpočet" xr:uid="{00000000-0004-0000-0300-000002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D6C36-81D1-4E67-A0B8-5EB02A9B4F62}">
  <sheetPr>
    <pageSetUpPr fitToPage="1"/>
  </sheetPr>
  <dimension ref="A1:BR153"/>
  <sheetViews>
    <sheetView showGridLines="0" topLeftCell="B1" workbookViewId="0">
      <pane ySplit="1" topLeftCell="A96" activePane="bottomLeft" state="frozen"/>
      <selection pane="bottomLeft" activeCell="L114" sqref="L114:M114"/>
    </sheetView>
  </sheetViews>
  <sheetFormatPr defaultColWidth="9.28515625" defaultRowHeight="12"/>
  <cols>
    <col min="1" max="1" width="8.28515625" hidden="1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7" width="11.140625" customWidth="1"/>
    <col min="8" max="8" width="12.42578125" customWidth="1"/>
    <col min="9" max="9" width="7" customWidth="1"/>
    <col min="10" max="10" width="5.140625" customWidth="1"/>
    <col min="11" max="11" width="11.42578125" customWidth="1"/>
    <col min="12" max="12" width="12" customWidth="1"/>
    <col min="13" max="14" width="6" customWidth="1"/>
    <col min="15" max="15" width="2" customWidth="1"/>
    <col min="16" max="16" width="12.42578125" customWidth="1"/>
    <col min="17" max="17" width="4.140625" customWidth="1"/>
    <col min="18" max="18" width="1.7109375" customWidth="1"/>
    <col min="19" max="19" width="8.140625" hidden="1" customWidth="1"/>
    <col min="20" max="20" width="29.7109375" hidden="1" customWidth="1"/>
    <col min="21" max="21" width="16.28515625" hidden="1" customWidth="1"/>
    <col min="22" max="22" width="12.28515625" hidden="1" customWidth="1"/>
    <col min="23" max="23" width="16.28515625" hidden="1" customWidth="1"/>
    <col min="24" max="24" width="12.140625" hidden="1" customWidth="1"/>
    <col min="25" max="25" width="15" hidden="1" customWidth="1"/>
    <col min="26" max="26" width="11" hidden="1" customWidth="1"/>
    <col min="27" max="27" width="15" hidden="1" customWidth="1"/>
    <col min="28" max="28" width="16.28515625" hidden="1" customWidth="1"/>
    <col min="29" max="29" width="11" hidden="1" customWidth="1"/>
    <col min="30" max="30" width="15" hidden="1" customWidth="1"/>
    <col min="31" max="31" width="16.28515625" hidden="1" customWidth="1"/>
    <col min="32" max="62" width="0" hidden="1" customWidth="1"/>
    <col min="63" max="63" width="11.42578125" hidden="1" customWidth="1"/>
    <col min="64" max="64" width="11" hidden="1" customWidth="1"/>
    <col min="65" max="65" width="12" hidden="1" customWidth="1"/>
    <col min="66" max="66" width="10.85546875" hidden="1" customWidth="1"/>
    <col min="67" max="67" width="11.85546875" hidden="1" customWidth="1"/>
    <col min="68" max="68" width="0" hidden="1" customWidth="1"/>
    <col min="69" max="69" width="22.28515625" customWidth="1"/>
  </cols>
  <sheetData>
    <row r="1" spans="1:69" ht="21.75" customHeight="1">
      <c r="A1" s="4"/>
      <c r="B1" s="5"/>
      <c r="C1" s="5"/>
      <c r="D1" s="6" t="s">
        <v>1</v>
      </c>
      <c r="E1" s="5"/>
      <c r="F1" s="2" t="s">
        <v>62</v>
      </c>
      <c r="G1" s="2"/>
      <c r="H1" s="231" t="s">
        <v>63</v>
      </c>
      <c r="I1" s="231"/>
      <c r="J1" s="231"/>
      <c r="K1" s="231"/>
      <c r="L1" s="2" t="s">
        <v>64</v>
      </c>
      <c r="M1" s="5"/>
      <c r="N1" s="5"/>
      <c r="O1" s="6" t="s">
        <v>65</v>
      </c>
      <c r="P1" s="5"/>
      <c r="Q1" s="5"/>
      <c r="R1" s="5"/>
      <c r="S1" s="2" t="s">
        <v>66</v>
      </c>
      <c r="T1" s="2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</row>
    <row r="2" spans="1:69" ht="36.9" customHeight="1">
      <c r="C2" s="160" t="s">
        <v>6</v>
      </c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S2" s="232" t="s">
        <v>7</v>
      </c>
      <c r="T2" s="157"/>
      <c r="U2" s="157"/>
      <c r="V2" s="157"/>
      <c r="W2" s="157"/>
      <c r="X2" s="157"/>
      <c r="Y2" s="157"/>
      <c r="Z2" s="157"/>
      <c r="AA2" s="157"/>
      <c r="AB2" s="157"/>
      <c r="AC2" s="157"/>
      <c r="AT2" s="8" t="s">
        <v>443</v>
      </c>
    </row>
    <row r="3" spans="1:69" ht="6.9" customHeight="1"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1"/>
      <c r="AT3" s="8" t="s">
        <v>67</v>
      </c>
      <c r="BQ3" s="12"/>
    </row>
    <row r="4" spans="1:69" ht="36.9" customHeight="1">
      <c r="B4" s="13"/>
      <c r="C4" s="162" t="s">
        <v>68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4"/>
      <c r="T4" s="7" t="s">
        <v>9</v>
      </c>
      <c r="AT4" s="8" t="s">
        <v>5</v>
      </c>
      <c r="BQ4" s="12"/>
    </row>
    <row r="5" spans="1:69" ht="6.9" customHeight="1">
      <c r="B5" s="13"/>
      <c r="R5" s="14"/>
      <c r="BQ5" s="12"/>
    </row>
    <row r="6" spans="1:69" ht="25.35" customHeight="1">
      <c r="B6" s="13"/>
      <c r="D6" s="15" t="s">
        <v>12</v>
      </c>
      <c r="F6" s="217" t="str">
        <f>+'obj. C -VZT '!F6:P6</f>
        <v>Revitalizace objektu MŠ-Srdíčko v Praze 12</v>
      </c>
      <c r="G6" s="218"/>
      <c r="H6" s="218"/>
      <c r="I6" s="218"/>
      <c r="J6" s="218"/>
      <c r="K6" s="218"/>
      <c r="L6" s="218"/>
      <c r="M6" s="218"/>
      <c r="N6" s="218"/>
      <c r="O6" s="218"/>
      <c r="P6" s="218"/>
      <c r="R6" s="14"/>
      <c r="BQ6" s="12"/>
    </row>
    <row r="7" spans="1:69" s="16" customFormat="1" ht="32.85" customHeight="1">
      <c r="B7" s="17"/>
      <c r="D7" s="18" t="s">
        <v>69</v>
      </c>
      <c r="F7" s="165" t="s">
        <v>444</v>
      </c>
      <c r="G7" s="216"/>
      <c r="H7" s="216"/>
      <c r="I7" s="216"/>
      <c r="J7" s="216"/>
      <c r="K7" s="216"/>
      <c r="L7" s="216"/>
      <c r="M7" s="216"/>
      <c r="N7" s="216"/>
      <c r="O7" s="216"/>
      <c r="P7" s="216"/>
      <c r="R7" s="19"/>
      <c r="BQ7" s="12"/>
    </row>
    <row r="8" spans="1:69" s="16" customFormat="1" ht="14.4" customHeight="1">
      <c r="B8" s="17"/>
      <c r="D8" s="15" t="s">
        <v>14</v>
      </c>
      <c r="F8" s="20" t="s">
        <v>4</v>
      </c>
      <c r="M8" s="15" t="s">
        <v>15</v>
      </c>
      <c r="O8" s="20" t="s">
        <v>4</v>
      </c>
      <c r="R8" s="19"/>
      <c r="BQ8" s="21"/>
    </row>
    <row r="9" spans="1:69" s="16" customFormat="1" ht="14.4" customHeight="1">
      <c r="B9" s="17"/>
      <c r="D9" s="15" t="s">
        <v>16</v>
      </c>
      <c r="F9" s="20" t="s">
        <v>17</v>
      </c>
      <c r="M9" s="15" t="s">
        <v>18</v>
      </c>
      <c r="O9" s="167" t="s">
        <v>618</v>
      </c>
      <c r="P9" s="167"/>
      <c r="Q9" s="167"/>
      <c r="R9" s="168"/>
      <c r="BQ9" s="21"/>
    </row>
    <row r="10" spans="1:69" s="16" customFormat="1" ht="10.95" customHeight="1">
      <c r="B10" s="17"/>
      <c r="R10" s="19"/>
      <c r="BQ10" s="21"/>
    </row>
    <row r="11" spans="1:69" s="16" customFormat="1" ht="14.4" customHeight="1">
      <c r="B11" s="17"/>
      <c r="D11" s="15" t="s">
        <v>19</v>
      </c>
      <c r="M11" s="15" t="s">
        <v>20</v>
      </c>
      <c r="O11" s="164" t="s">
        <v>4</v>
      </c>
      <c r="P11" s="164"/>
      <c r="R11" s="19"/>
      <c r="BQ11" s="21"/>
    </row>
    <row r="12" spans="1:69" s="16" customFormat="1" ht="18" customHeight="1">
      <c r="B12" s="17"/>
      <c r="E12" s="20" t="s">
        <v>445</v>
      </c>
      <c r="M12" s="15" t="s">
        <v>22</v>
      </c>
      <c r="O12" s="164" t="s">
        <v>4</v>
      </c>
      <c r="P12" s="164"/>
      <c r="R12" s="19"/>
      <c r="BQ12" s="21"/>
    </row>
    <row r="13" spans="1:69" s="16" customFormat="1" ht="6.9" customHeight="1">
      <c r="B13" s="17"/>
      <c r="R13" s="19"/>
      <c r="BQ13" s="21"/>
    </row>
    <row r="14" spans="1:69" s="16" customFormat="1" ht="14.4" customHeight="1">
      <c r="B14" s="17"/>
      <c r="D14" s="15" t="s">
        <v>23</v>
      </c>
      <c r="M14" s="15" t="s">
        <v>20</v>
      </c>
      <c r="O14" s="167" t="s">
        <v>618</v>
      </c>
      <c r="P14" s="167"/>
      <c r="Q14" s="167"/>
      <c r="R14" s="168"/>
      <c r="BQ14" s="21"/>
    </row>
    <row r="15" spans="1:69" s="16" customFormat="1" ht="18" customHeight="1">
      <c r="B15" s="17"/>
      <c r="E15" s="166" t="s">
        <v>618</v>
      </c>
      <c r="F15" s="166"/>
      <c r="G15" s="166"/>
      <c r="H15" s="166"/>
      <c r="I15" s="166"/>
      <c r="J15" s="166"/>
      <c r="K15" s="166"/>
      <c r="L15" s="166"/>
      <c r="M15" s="15" t="s">
        <v>22</v>
      </c>
      <c r="O15" s="167" t="s">
        <v>618</v>
      </c>
      <c r="P15" s="167"/>
      <c r="Q15" s="167"/>
      <c r="R15" s="168"/>
      <c r="BQ15" s="21"/>
    </row>
    <row r="16" spans="1:69" s="16" customFormat="1" ht="6.9" customHeight="1">
      <c r="B16" s="17"/>
      <c r="R16" s="19"/>
      <c r="BQ16" s="21"/>
    </row>
    <row r="17" spans="2:69" s="16" customFormat="1" ht="14.4" customHeight="1">
      <c r="B17" s="17"/>
      <c r="D17" s="15" t="s">
        <v>24</v>
      </c>
      <c r="M17" s="15" t="s">
        <v>20</v>
      </c>
      <c r="O17" s="164" t="s">
        <v>4</v>
      </c>
      <c r="P17" s="164"/>
      <c r="R17" s="19"/>
      <c r="BQ17" s="21"/>
    </row>
    <row r="18" spans="2:69" s="16" customFormat="1" ht="18" customHeight="1">
      <c r="B18" s="17"/>
      <c r="E18" s="20" t="s">
        <v>446</v>
      </c>
      <c r="M18" s="15" t="s">
        <v>22</v>
      </c>
      <c r="O18" s="164" t="s">
        <v>4</v>
      </c>
      <c r="P18" s="164"/>
      <c r="R18" s="19"/>
      <c r="BQ18" s="21"/>
    </row>
    <row r="19" spans="2:69" s="16" customFormat="1" ht="6.9" customHeight="1">
      <c r="B19" s="17"/>
      <c r="R19" s="19"/>
      <c r="BQ19" s="21"/>
    </row>
    <row r="20" spans="2:69" s="16" customFormat="1" ht="14.4" customHeight="1">
      <c r="B20" s="17"/>
      <c r="D20" s="15" t="s">
        <v>26</v>
      </c>
      <c r="M20" s="15" t="s">
        <v>20</v>
      </c>
      <c r="O20" s="164" t="s">
        <v>4</v>
      </c>
      <c r="P20" s="164"/>
      <c r="R20" s="19"/>
      <c r="BQ20" s="21"/>
    </row>
    <row r="21" spans="2:69" s="16" customFormat="1" ht="18" customHeight="1">
      <c r="B21" s="17"/>
      <c r="E21" s="166" t="s">
        <v>618</v>
      </c>
      <c r="F21" s="166"/>
      <c r="G21" s="166"/>
      <c r="H21" s="166"/>
      <c r="I21" s="166"/>
      <c r="J21" s="166"/>
      <c r="K21" s="166"/>
      <c r="L21" s="166"/>
      <c r="M21" s="15" t="s">
        <v>22</v>
      </c>
      <c r="O21" s="164" t="s">
        <v>4</v>
      </c>
      <c r="P21" s="164"/>
      <c r="R21" s="19"/>
      <c r="BQ21" s="21"/>
    </row>
    <row r="22" spans="2:69" s="16" customFormat="1" ht="6.9" customHeight="1">
      <c r="B22" s="17"/>
      <c r="R22" s="19"/>
      <c r="BQ22" s="21"/>
    </row>
    <row r="23" spans="2:69" s="16" customFormat="1" ht="14.4" customHeight="1">
      <c r="B23" s="17"/>
      <c r="D23" s="15" t="s">
        <v>27</v>
      </c>
      <c r="R23" s="19"/>
      <c r="BQ23" s="21"/>
    </row>
    <row r="24" spans="2:69" s="16" customFormat="1" ht="16.5" customHeight="1">
      <c r="B24" s="17"/>
      <c r="E24" s="169" t="s">
        <v>4</v>
      </c>
      <c r="F24" s="169"/>
      <c r="G24" s="169"/>
      <c r="H24" s="169"/>
      <c r="I24" s="169"/>
      <c r="J24" s="169"/>
      <c r="K24" s="169"/>
      <c r="L24" s="169"/>
      <c r="R24" s="19"/>
      <c r="BQ24" s="21"/>
    </row>
    <row r="25" spans="2:69" s="16" customFormat="1" ht="6.9" customHeight="1">
      <c r="B25" s="17"/>
      <c r="R25" s="19"/>
      <c r="BQ25" s="21"/>
    </row>
    <row r="26" spans="2:69" s="16" customFormat="1" ht="6.9" customHeight="1">
      <c r="B26" s="17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R26" s="19"/>
      <c r="BQ26" s="21"/>
    </row>
    <row r="27" spans="2:69" s="16" customFormat="1" ht="14.4" customHeight="1">
      <c r="B27" s="17"/>
      <c r="D27" s="23" t="s">
        <v>72</v>
      </c>
      <c r="M27" s="156">
        <f>ROUND(N87,0)</f>
        <v>0</v>
      </c>
      <c r="N27" s="156"/>
      <c r="O27" s="156"/>
      <c r="P27" s="156"/>
      <c r="R27" s="19"/>
      <c r="BQ27" s="24"/>
    </row>
    <row r="28" spans="2:69" s="16" customFormat="1" ht="6.9" customHeight="1">
      <c r="B28" s="17"/>
      <c r="R28" s="19"/>
      <c r="BQ28" s="21"/>
    </row>
    <row r="29" spans="2:69" s="16" customFormat="1" ht="25.35" customHeight="1">
      <c r="B29" s="17"/>
      <c r="D29" s="25" t="s">
        <v>30</v>
      </c>
      <c r="M29" s="225">
        <f>+M27</f>
        <v>0</v>
      </c>
      <c r="N29" s="216"/>
      <c r="O29" s="216"/>
      <c r="P29" s="216"/>
      <c r="R29" s="19"/>
      <c r="BQ29" s="21"/>
    </row>
    <row r="30" spans="2:69" s="16" customFormat="1" ht="6.9" customHeight="1">
      <c r="B30" s="17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R30" s="19"/>
      <c r="BQ30" s="21"/>
    </row>
    <row r="31" spans="2:69" s="16" customFormat="1" ht="14.4" customHeight="1">
      <c r="B31" s="17"/>
      <c r="D31" s="26" t="s">
        <v>31</v>
      </c>
      <c r="E31" s="26" t="s">
        <v>32</v>
      </c>
      <c r="F31" s="27">
        <v>0.21</v>
      </c>
      <c r="G31" s="28" t="s">
        <v>33</v>
      </c>
      <c r="H31" s="222">
        <f>+M29</f>
        <v>0</v>
      </c>
      <c r="I31" s="216"/>
      <c r="J31" s="216"/>
      <c r="M31" s="222">
        <f>ROUND(0.21*H31,0)</f>
        <v>0</v>
      </c>
      <c r="N31" s="216"/>
      <c r="O31" s="216"/>
      <c r="P31" s="216"/>
      <c r="R31" s="19"/>
      <c r="BQ31" s="21"/>
    </row>
    <row r="32" spans="2:69" s="16" customFormat="1" ht="14.4" customHeight="1">
      <c r="B32" s="17"/>
      <c r="E32" s="26" t="s">
        <v>34</v>
      </c>
      <c r="F32" s="27">
        <v>0.15</v>
      </c>
      <c r="G32" s="28" t="s">
        <v>33</v>
      </c>
      <c r="H32" s="222"/>
      <c r="I32" s="216"/>
      <c r="J32" s="216"/>
      <c r="M32" s="222"/>
      <c r="N32" s="216"/>
      <c r="O32" s="216"/>
      <c r="P32" s="216"/>
      <c r="R32" s="19"/>
      <c r="BQ32" s="21"/>
    </row>
    <row r="33" spans="2:69" s="16" customFormat="1" ht="14.4" hidden="1" customHeight="1">
      <c r="B33" s="17"/>
      <c r="E33" s="26" t="s">
        <v>35</v>
      </c>
      <c r="F33" s="27">
        <v>0.21</v>
      </c>
      <c r="G33" s="28" t="s">
        <v>33</v>
      </c>
      <c r="H33" s="222" t="e">
        <f>ROUND((((SUM(BG93:BG93)+SUM(BG111:BG142))+SUM(#REF!))),2)</f>
        <v>#REF!</v>
      </c>
      <c r="I33" s="216"/>
      <c r="J33" s="216"/>
      <c r="M33" s="222">
        <v>0</v>
      </c>
      <c r="N33" s="216"/>
      <c r="O33" s="216"/>
      <c r="P33" s="216"/>
      <c r="R33" s="19"/>
      <c r="BQ33" s="21"/>
    </row>
    <row r="34" spans="2:69" s="16" customFormat="1" ht="14.4" hidden="1" customHeight="1">
      <c r="B34" s="17"/>
      <c r="E34" s="26" t="s">
        <v>36</v>
      </c>
      <c r="F34" s="27">
        <v>0.15</v>
      </c>
      <c r="G34" s="28" t="s">
        <v>33</v>
      </c>
      <c r="H34" s="222" t="e">
        <f>ROUND((((SUM(BH93:BH93)+SUM(BH111:BH142))+SUM(#REF!))),2)</f>
        <v>#REF!</v>
      </c>
      <c r="I34" s="216"/>
      <c r="J34" s="216"/>
      <c r="M34" s="222">
        <v>0</v>
      </c>
      <c r="N34" s="216"/>
      <c r="O34" s="216"/>
      <c r="P34" s="216"/>
      <c r="R34" s="19"/>
      <c r="BQ34" s="21"/>
    </row>
    <row r="35" spans="2:69" s="16" customFormat="1" ht="14.4" hidden="1" customHeight="1">
      <c r="B35" s="17"/>
      <c r="E35" s="26" t="s">
        <v>37</v>
      </c>
      <c r="F35" s="27">
        <v>0</v>
      </c>
      <c r="G35" s="28" t="s">
        <v>33</v>
      </c>
      <c r="H35" s="222" t="e">
        <f>ROUND((((SUM(BI93:BI93)+SUM(BI111:BI142))+SUM(#REF!))),2)</f>
        <v>#REF!</v>
      </c>
      <c r="I35" s="216"/>
      <c r="J35" s="216"/>
      <c r="M35" s="222">
        <v>0</v>
      </c>
      <c r="N35" s="216"/>
      <c r="O35" s="216"/>
      <c r="P35" s="216"/>
      <c r="R35" s="19"/>
      <c r="BQ35" s="21"/>
    </row>
    <row r="36" spans="2:69" s="16" customFormat="1" ht="6.9" customHeight="1">
      <c r="B36" s="17"/>
      <c r="R36" s="19"/>
      <c r="BQ36" s="21"/>
    </row>
    <row r="37" spans="2:69" s="16" customFormat="1" ht="25.35" customHeight="1">
      <c r="B37" s="17"/>
      <c r="C37" s="29"/>
      <c r="D37" s="30" t="s">
        <v>38</v>
      </c>
      <c r="E37" s="31"/>
      <c r="F37" s="31"/>
      <c r="G37" s="32" t="s">
        <v>39</v>
      </c>
      <c r="H37" s="33" t="s">
        <v>40</v>
      </c>
      <c r="I37" s="31"/>
      <c r="J37" s="31"/>
      <c r="K37" s="31"/>
      <c r="L37" s="223">
        <f>+H31+M31</f>
        <v>0</v>
      </c>
      <c r="M37" s="223"/>
      <c r="N37" s="223"/>
      <c r="O37" s="223"/>
      <c r="P37" s="224"/>
      <c r="Q37" s="29"/>
      <c r="R37" s="19"/>
      <c r="BQ37" s="21"/>
    </row>
    <row r="38" spans="2:69" s="16" customFormat="1" ht="14.4" customHeight="1">
      <c r="B38" s="17"/>
      <c r="R38" s="19"/>
      <c r="BQ38" s="21"/>
    </row>
    <row r="39" spans="2:69" s="16" customFormat="1" ht="14.4" customHeight="1">
      <c r="B39" s="17"/>
      <c r="R39" s="19"/>
      <c r="BQ39" s="21"/>
    </row>
    <row r="40" spans="2:69">
      <c r="B40" s="13"/>
      <c r="R40" s="14"/>
      <c r="BQ40" s="21"/>
    </row>
    <row r="41" spans="2:69">
      <c r="B41" s="13"/>
      <c r="R41" s="14"/>
      <c r="BQ41" s="12"/>
    </row>
    <row r="42" spans="2:69">
      <c r="B42" s="13"/>
      <c r="R42" s="14"/>
      <c r="BQ42" s="12"/>
    </row>
    <row r="43" spans="2:69">
      <c r="B43" s="13"/>
      <c r="R43" s="14"/>
      <c r="BQ43" s="12"/>
    </row>
    <row r="44" spans="2:69">
      <c r="B44" s="13"/>
      <c r="R44" s="14"/>
      <c r="BQ44" s="12"/>
    </row>
    <row r="45" spans="2:69">
      <c r="B45" s="13"/>
      <c r="R45" s="14"/>
      <c r="BQ45" s="12"/>
    </row>
    <row r="46" spans="2:69">
      <c r="B46" s="13"/>
      <c r="R46" s="14"/>
      <c r="BQ46" s="12"/>
    </row>
    <row r="47" spans="2:69">
      <c r="B47" s="13"/>
      <c r="R47" s="14"/>
      <c r="BQ47" s="12"/>
    </row>
    <row r="48" spans="2:69">
      <c r="B48" s="13"/>
      <c r="R48" s="14"/>
      <c r="BQ48" s="12"/>
    </row>
    <row r="49" spans="2:69" s="16" customFormat="1" ht="14.4">
      <c r="B49" s="17"/>
      <c r="D49" s="34" t="s">
        <v>41</v>
      </c>
      <c r="E49" s="22"/>
      <c r="F49" s="22"/>
      <c r="G49" s="22"/>
      <c r="H49" s="35"/>
      <c r="J49" s="34" t="s">
        <v>42</v>
      </c>
      <c r="K49" s="22"/>
      <c r="L49" s="22"/>
      <c r="M49" s="22"/>
      <c r="N49" s="22"/>
      <c r="O49" s="22"/>
      <c r="P49" s="35"/>
      <c r="R49" s="19"/>
      <c r="BQ49" s="12"/>
    </row>
    <row r="50" spans="2:69">
      <c r="B50" s="13"/>
      <c r="D50" s="36"/>
      <c r="H50" s="37"/>
      <c r="J50" s="36"/>
      <c r="P50" s="37"/>
      <c r="R50" s="14"/>
      <c r="BQ50" s="21"/>
    </row>
    <row r="51" spans="2:69">
      <c r="B51" s="13"/>
      <c r="D51" s="36"/>
      <c r="H51" s="37"/>
      <c r="J51" s="36"/>
      <c r="P51" s="37"/>
      <c r="R51" s="14"/>
      <c r="BQ51" s="12"/>
    </row>
    <row r="52" spans="2:69">
      <c r="B52" s="13"/>
      <c r="D52" s="36"/>
      <c r="H52" s="37"/>
      <c r="J52" s="36"/>
      <c r="P52" s="37"/>
      <c r="R52" s="14"/>
      <c r="BQ52" s="12"/>
    </row>
    <row r="53" spans="2:69">
      <c r="B53" s="13"/>
      <c r="D53" s="36"/>
      <c r="H53" s="37"/>
      <c r="J53" s="36"/>
      <c r="P53" s="37"/>
      <c r="R53" s="14"/>
      <c r="BQ53" s="12"/>
    </row>
    <row r="54" spans="2:69">
      <c r="B54" s="13"/>
      <c r="D54" s="36"/>
      <c r="H54" s="37"/>
      <c r="J54" s="36"/>
      <c r="P54" s="37"/>
      <c r="R54" s="14"/>
      <c r="BQ54" s="12"/>
    </row>
    <row r="55" spans="2:69">
      <c r="B55" s="13"/>
      <c r="D55" s="36"/>
      <c r="H55" s="37"/>
      <c r="J55" s="36"/>
      <c r="P55" s="37"/>
      <c r="R55" s="14"/>
      <c r="BQ55" s="12"/>
    </row>
    <row r="56" spans="2:69">
      <c r="B56" s="13"/>
      <c r="D56" s="36"/>
      <c r="H56" s="37"/>
      <c r="J56" s="36"/>
      <c r="P56" s="37"/>
      <c r="R56" s="14"/>
      <c r="BQ56" s="12"/>
    </row>
    <row r="57" spans="2:69">
      <c r="B57" s="13"/>
      <c r="D57" s="36"/>
      <c r="H57" s="37"/>
      <c r="J57" s="36"/>
      <c r="P57" s="37"/>
      <c r="R57" s="14"/>
      <c r="BQ57" s="12"/>
    </row>
    <row r="58" spans="2:69" s="16" customFormat="1" ht="14.4">
      <c r="B58" s="17"/>
      <c r="D58" s="38" t="s">
        <v>43</v>
      </c>
      <c r="E58" s="39"/>
      <c r="F58" s="39"/>
      <c r="G58" s="40" t="s">
        <v>44</v>
      </c>
      <c r="H58" s="41"/>
      <c r="J58" s="38" t="s">
        <v>43</v>
      </c>
      <c r="K58" s="39"/>
      <c r="L58" s="39"/>
      <c r="M58" s="39"/>
      <c r="N58" s="40" t="s">
        <v>44</v>
      </c>
      <c r="O58" s="39"/>
      <c r="P58" s="41"/>
      <c r="R58" s="19"/>
      <c r="BQ58" s="12"/>
    </row>
    <row r="59" spans="2:69">
      <c r="B59" s="13"/>
      <c r="R59" s="14"/>
      <c r="BQ59" s="12"/>
    </row>
    <row r="60" spans="2:69" s="16" customFormat="1" ht="14.4">
      <c r="B60" s="17"/>
      <c r="D60" s="34" t="s">
        <v>45</v>
      </c>
      <c r="E60" s="22"/>
      <c r="F60" s="22"/>
      <c r="G60" s="22"/>
      <c r="H60" s="35"/>
      <c r="J60" s="34" t="s">
        <v>46</v>
      </c>
      <c r="K60" s="22"/>
      <c r="L60" s="22"/>
      <c r="M60" s="22"/>
      <c r="N60" s="22"/>
      <c r="O60" s="22"/>
      <c r="P60" s="35"/>
      <c r="R60" s="19"/>
      <c r="BQ60" s="12"/>
    </row>
    <row r="61" spans="2:69">
      <c r="B61" s="13"/>
      <c r="D61" s="36"/>
      <c r="H61" s="37"/>
      <c r="J61" s="36"/>
      <c r="P61" s="37"/>
      <c r="R61" s="14"/>
      <c r="BQ61" s="21"/>
    </row>
    <row r="62" spans="2:69">
      <c r="B62" s="13"/>
      <c r="D62" s="36"/>
      <c r="H62" s="37"/>
      <c r="J62" s="36"/>
      <c r="P62" s="37"/>
      <c r="R62" s="14"/>
      <c r="BQ62" s="12"/>
    </row>
    <row r="63" spans="2:69">
      <c r="B63" s="13"/>
      <c r="D63" s="36"/>
      <c r="H63" s="37"/>
      <c r="J63" s="36"/>
      <c r="P63" s="37"/>
      <c r="R63" s="14"/>
      <c r="BQ63" s="12"/>
    </row>
    <row r="64" spans="2:69">
      <c r="B64" s="13"/>
      <c r="D64" s="36"/>
      <c r="H64" s="37"/>
      <c r="J64" s="36"/>
      <c r="P64" s="37"/>
      <c r="R64" s="14"/>
      <c r="BQ64" s="12"/>
    </row>
    <row r="65" spans="2:69">
      <c r="B65" s="13"/>
      <c r="D65" s="36"/>
      <c r="H65" s="37"/>
      <c r="J65" s="36"/>
      <c r="P65" s="37"/>
      <c r="R65" s="14"/>
      <c r="BQ65" s="21"/>
    </row>
    <row r="66" spans="2:69">
      <c r="B66" s="13"/>
      <c r="D66" s="36"/>
      <c r="H66" s="37"/>
      <c r="J66" s="36"/>
      <c r="P66" s="37"/>
      <c r="R66" s="14"/>
      <c r="BQ66" s="12"/>
    </row>
    <row r="67" spans="2:69">
      <c r="B67" s="13"/>
      <c r="D67" s="36"/>
      <c r="H67" s="37"/>
      <c r="J67" s="36"/>
      <c r="P67" s="37"/>
      <c r="R67" s="14"/>
      <c r="BQ67" s="12"/>
    </row>
    <row r="68" spans="2:69">
      <c r="B68" s="13"/>
      <c r="D68" s="36"/>
      <c r="H68" s="37"/>
      <c r="J68" s="36"/>
      <c r="P68" s="37"/>
      <c r="R68" s="14"/>
      <c r="BQ68" s="12"/>
    </row>
    <row r="69" spans="2:69" s="16" customFormat="1" ht="14.4">
      <c r="B69" s="17"/>
      <c r="D69" s="38" t="s">
        <v>43</v>
      </c>
      <c r="E69" s="39"/>
      <c r="F69" s="39"/>
      <c r="G69" s="40" t="s">
        <v>44</v>
      </c>
      <c r="H69" s="41"/>
      <c r="J69" s="38" t="s">
        <v>43</v>
      </c>
      <c r="K69" s="39"/>
      <c r="L69" s="39"/>
      <c r="M69" s="39"/>
      <c r="N69" s="40" t="s">
        <v>44</v>
      </c>
      <c r="O69" s="39"/>
      <c r="P69" s="41"/>
      <c r="R69" s="19"/>
      <c r="BQ69" s="12"/>
    </row>
    <row r="70" spans="2:69" s="16" customFormat="1" ht="14.4" customHeight="1"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4"/>
      <c r="BQ70" s="12"/>
    </row>
    <row r="71" spans="2:69">
      <c r="BQ71" s="12"/>
    </row>
    <row r="72" spans="2:69">
      <c r="BQ72" s="12"/>
    </row>
    <row r="73" spans="2:69">
      <c r="BQ73" s="12"/>
    </row>
    <row r="74" spans="2:69" s="16" customFormat="1" ht="6.9" customHeight="1">
      <c r="B74" s="45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7"/>
      <c r="BQ74" s="12"/>
    </row>
    <row r="75" spans="2:69" s="16" customFormat="1" ht="36.9" customHeight="1">
      <c r="B75" s="17"/>
      <c r="C75" s="162" t="s">
        <v>74</v>
      </c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9"/>
      <c r="BQ75" s="12"/>
    </row>
    <row r="76" spans="2:69" s="16" customFormat="1" ht="6.9" customHeight="1">
      <c r="B76" s="17"/>
      <c r="R76" s="19"/>
      <c r="BQ76" s="21"/>
    </row>
    <row r="77" spans="2:69" s="16" customFormat="1" ht="30" customHeight="1">
      <c r="B77" s="17"/>
      <c r="C77" s="15" t="s">
        <v>12</v>
      </c>
      <c r="F77" s="217" t="str">
        <f>F6</f>
        <v>Revitalizace objektu MŠ-Srdíčko v Praze 12</v>
      </c>
      <c r="G77" s="218"/>
      <c r="H77" s="218"/>
      <c r="I77" s="218"/>
      <c r="J77" s="218"/>
      <c r="K77" s="218"/>
      <c r="L77" s="218"/>
      <c r="M77" s="218"/>
      <c r="N77" s="218"/>
      <c r="O77" s="218"/>
      <c r="P77" s="218"/>
      <c r="R77" s="19"/>
      <c r="BQ77" s="21"/>
    </row>
    <row r="78" spans="2:69" s="16" customFormat="1" ht="36.9" customHeight="1">
      <c r="B78" s="17"/>
      <c r="C78" s="48" t="s">
        <v>69</v>
      </c>
      <c r="F78" s="188" t="str">
        <f>F7</f>
        <v>obj. D - Stínění (žaluzie)</v>
      </c>
      <c r="G78" s="216"/>
      <c r="H78" s="216"/>
      <c r="I78" s="216"/>
      <c r="J78" s="216"/>
      <c r="K78" s="216"/>
      <c r="L78" s="216"/>
      <c r="M78" s="216"/>
      <c r="N78" s="216"/>
      <c r="O78" s="216"/>
      <c r="P78" s="216"/>
      <c r="R78" s="19"/>
      <c r="BQ78"/>
    </row>
    <row r="79" spans="2:69" s="16" customFormat="1" ht="6.9" customHeight="1">
      <c r="B79" s="17"/>
      <c r="R79" s="19"/>
      <c r="BQ79"/>
    </row>
    <row r="80" spans="2:69" s="16" customFormat="1" ht="18" customHeight="1">
      <c r="B80" s="17"/>
      <c r="C80" s="15" t="s">
        <v>16</v>
      </c>
      <c r="F80" s="20" t="str">
        <f>F9</f>
        <v>Levského 3203/19, Praha 12 - Modřany</v>
      </c>
      <c r="K80" s="15" t="s">
        <v>18</v>
      </c>
      <c r="M80" s="209" t="str">
        <f>IF(O9="","",O9)</f>
        <v>Vyplň údaj</v>
      </c>
      <c r="N80" s="209"/>
      <c r="O80" s="209"/>
      <c r="P80" s="209"/>
      <c r="R80" s="19"/>
      <c r="BQ80"/>
    </row>
    <row r="81" spans="2:69" s="16" customFormat="1" ht="6.9" customHeight="1">
      <c r="B81" s="17"/>
      <c r="R81" s="19"/>
      <c r="BQ81" s="21"/>
    </row>
    <row r="82" spans="2:69" s="16" customFormat="1" ht="13.2">
      <c r="B82" s="17"/>
      <c r="C82" s="15" t="s">
        <v>19</v>
      </c>
      <c r="F82" s="20" t="str">
        <f>E12</f>
        <v>Městská čásť Praha 12, Písková 830/25 Praha 4</v>
      </c>
      <c r="K82" s="15" t="s">
        <v>24</v>
      </c>
      <c r="M82" s="164" t="str">
        <f>E18</f>
        <v>Projektová kancelář ATLAS s.r.o., Čiklova1706/13 a</v>
      </c>
      <c r="N82" s="164"/>
      <c r="O82" s="164"/>
      <c r="P82" s="164"/>
      <c r="Q82" s="164"/>
      <c r="R82" s="19"/>
      <c r="BQ82" s="21"/>
    </row>
    <row r="83" spans="2:69" s="16" customFormat="1" ht="14.4" customHeight="1">
      <c r="B83" s="17"/>
      <c r="C83" s="15" t="s">
        <v>23</v>
      </c>
      <c r="F83" s="20" t="str">
        <f>IF(E15="","",E15)</f>
        <v>Vyplň údaj</v>
      </c>
      <c r="K83" s="15" t="s">
        <v>26</v>
      </c>
      <c r="M83" s="164" t="str">
        <f>E21</f>
        <v>Vyplň údaj</v>
      </c>
      <c r="N83" s="164"/>
      <c r="O83" s="164"/>
      <c r="P83" s="164"/>
      <c r="Q83" s="164"/>
      <c r="R83" s="19"/>
      <c r="BQ83" s="21"/>
    </row>
    <row r="84" spans="2:69" s="16" customFormat="1" ht="10.35" customHeight="1">
      <c r="B84" s="17"/>
      <c r="R84" s="19"/>
      <c r="BQ84" s="21"/>
    </row>
    <row r="85" spans="2:69" s="16" customFormat="1" ht="29.25" customHeight="1">
      <c r="B85" s="17"/>
      <c r="C85" s="220" t="s">
        <v>75</v>
      </c>
      <c r="D85" s="221"/>
      <c r="E85" s="221"/>
      <c r="F85" s="221"/>
      <c r="G85" s="221"/>
      <c r="H85" s="29"/>
      <c r="I85" s="29"/>
      <c r="J85" s="29"/>
      <c r="K85" s="29"/>
      <c r="L85" s="29"/>
      <c r="M85" s="29"/>
      <c r="N85" s="220" t="s">
        <v>76</v>
      </c>
      <c r="O85" s="221"/>
      <c r="P85" s="221"/>
      <c r="Q85" s="221"/>
      <c r="R85" s="19"/>
      <c r="BK85" s="49" t="s">
        <v>447</v>
      </c>
      <c r="BL85" s="49" t="s">
        <v>448</v>
      </c>
      <c r="BM85" s="49" t="s">
        <v>449</v>
      </c>
      <c r="BN85" s="49" t="s">
        <v>450</v>
      </c>
      <c r="BQ85" s="21"/>
    </row>
    <row r="86" spans="2:69" s="16" customFormat="1" ht="10.35" customHeight="1">
      <c r="B86" s="17"/>
      <c r="R86" s="19"/>
      <c r="BQ86" s="21"/>
    </row>
    <row r="87" spans="2:69" s="16" customFormat="1" ht="29.25" customHeight="1">
      <c r="B87" s="17"/>
      <c r="C87" s="50" t="s">
        <v>77</v>
      </c>
      <c r="N87" s="170">
        <f>N111</f>
        <v>0</v>
      </c>
      <c r="O87" s="214"/>
      <c r="P87" s="214"/>
      <c r="Q87" s="214"/>
      <c r="R87" s="19"/>
      <c r="AU87" s="8" t="s">
        <v>78</v>
      </c>
      <c r="BK87" s="51" t="e">
        <f>+BK88+BK91</f>
        <v>#REF!</v>
      </c>
      <c r="BL87" s="51" t="e">
        <f t="shared" ref="BL87:BN87" si="0">+BL88+BL91</f>
        <v>#REF!</v>
      </c>
      <c r="BM87" s="51" t="e">
        <f t="shared" si="0"/>
        <v>#REF!</v>
      </c>
      <c r="BN87" s="51" t="e">
        <f t="shared" si="0"/>
        <v>#REF!</v>
      </c>
      <c r="BQ87" s="21"/>
    </row>
    <row r="88" spans="2:69" s="53" customFormat="1" ht="24.9" customHeight="1">
      <c r="B88" s="52"/>
      <c r="D88" s="54" t="s">
        <v>89</v>
      </c>
      <c r="N88" s="208">
        <f>+N112</f>
        <v>0</v>
      </c>
      <c r="O88" s="219"/>
      <c r="P88" s="219"/>
      <c r="Q88" s="219"/>
      <c r="R88" s="55"/>
      <c r="BK88" s="56">
        <f>+BK112</f>
        <v>0</v>
      </c>
      <c r="BL88" s="56">
        <f t="shared" ref="BL88:BN88" si="1">+BL112</f>
        <v>0</v>
      </c>
      <c r="BM88" s="56">
        <f t="shared" si="1"/>
        <v>0</v>
      </c>
      <c r="BN88" s="56">
        <f t="shared" si="1"/>
        <v>0</v>
      </c>
      <c r="BQ88" s="21"/>
    </row>
    <row r="89" spans="2:69" s="58" customFormat="1" ht="19.95" customHeight="1">
      <c r="B89" s="57"/>
      <c r="D89" s="59" t="s">
        <v>354</v>
      </c>
      <c r="N89" s="212">
        <f>N113</f>
        <v>0</v>
      </c>
      <c r="O89" s="213"/>
      <c r="P89" s="213"/>
      <c r="Q89" s="213"/>
      <c r="R89" s="60"/>
      <c r="BK89" s="56">
        <f t="shared" ref="BK89:BN89" si="2">+BK113</f>
        <v>0</v>
      </c>
      <c r="BL89" s="56">
        <f t="shared" si="2"/>
        <v>0</v>
      </c>
      <c r="BM89" s="56">
        <f t="shared" si="2"/>
        <v>0</v>
      </c>
      <c r="BN89" s="56">
        <f t="shared" si="2"/>
        <v>0</v>
      </c>
      <c r="BQ89" s="21"/>
    </row>
    <row r="90" spans="2:69" s="58" customFormat="1" ht="19.95" customHeight="1">
      <c r="B90" s="57"/>
      <c r="D90" s="59" t="s">
        <v>451</v>
      </c>
      <c r="N90" s="212">
        <f>N123</f>
        <v>0</v>
      </c>
      <c r="O90" s="213"/>
      <c r="P90" s="213"/>
      <c r="Q90" s="213"/>
      <c r="R90" s="60"/>
      <c r="BK90" s="56">
        <f>+BK123</f>
        <v>0</v>
      </c>
      <c r="BL90" s="56">
        <f t="shared" ref="BL90:BN90" si="3">+BL123</f>
        <v>0</v>
      </c>
      <c r="BM90" s="56">
        <f t="shared" si="3"/>
        <v>0</v>
      </c>
      <c r="BN90" s="56">
        <f t="shared" si="3"/>
        <v>0</v>
      </c>
      <c r="BQ90" s="21"/>
    </row>
    <row r="91" spans="2:69" s="53" customFormat="1" ht="24.9" customHeight="1">
      <c r="B91" s="52"/>
      <c r="D91" s="54" t="s">
        <v>96</v>
      </c>
      <c r="N91" s="208">
        <f>+N134</f>
        <v>0</v>
      </c>
      <c r="O91" s="219"/>
      <c r="P91" s="219"/>
      <c r="Q91" s="219"/>
      <c r="R91" s="55"/>
      <c r="BK91" s="56" t="e">
        <f>+#REF!</f>
        <v>#REF!</v>
      </c>
      <c r="BL91" s="56" t="e">
        <f>+#REF!</f>
        <v>#REF!</v>
      </c>
      <c r="BM91" s="56" t="e">
        <f>+#REF!</f>
        <v>#REF!</v>
      </c>
      <c r="BN91" s="56" t="e">
        <f>+#REF!</f>
        <v>#REF!</v>
      </c>
      <c r="BQ91" s="21"/>
    </row>
    <row r="92" spans="2:69" s="16" customFormat="1" ht="21.75" customHeight="1">
      <c r="B92" s="17"/>
      <c r="R92" s="19"/>
      <c r="BK92" s="56"/>
      <c r="BL92" s="56"/>
      <c r="BM92" s="56"/>
      <c r="BN92" s="56"/>
      <c r="BQ92" s="21"/>
    </row>
    <row r="93" spans="2:69" s="16" customFormat="1">
      <c r="B93" s="17"/>
      <c r="R93" s="19"/>
      <c r="BK93" s="56"/>
      <c r="BL93" s="56"/>
      <c r="BM93" s="56"/>
      <c r="BN93" s="56"/>
      <c r="BQ93" s="21"/>
    </row>
    <row r="94" spans="2:69" s="16" customFormat="1" ht="29.25" customHeight="1">
      <c r="B94" s="17"/>
      <c r="C94" s="61" t="s">
        <v>438</v>
      </c>
      <c r="D94" s="29"/>
      <c r="E94" s="29"/>
      <c r="F94" s="29"/>
      <c r="G94" s="29"/>
      <c r="H94" s="29"/>
      <c r="I94" s="29"/>
      <c r="J94" s="29"/>
      <c r="K94" s="29"/>
      <c r="L94" s="171">
        <f>+N87</f>
        <v>0</v>
      </c>
      <c r="M94" s="171"/>
      <c r="N94" s="171"/>
      <c r="O94" s="171"/>
      <c r="P94" s="171"/>
      <c r="Q94" s="171"/>
      <c r="R94" s="19"/>
      <c r="BK94" s="56"/>
      <c r="BL94" s="56"/>
      <c r="BM94" s="56"/>
      <c r="BN94" s="56"/>
      <c r="BQ94" s="21"/>
    </row>
    <row r="95" spans="2:69" s="16" customFormat="1" ht="6.9" customHeight="1">
      <c r="B95" s="42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4"/>
      <c r="BK95" s="56"/>
      <c r="BL95" s="56"/>
      <c r="BM95" s="56"/>
      <c r="BN95" s="56"/>
      <c r="BQ95" s="21"/>
    </row>
    <row r="96" spans="2:69">
      <c r="BQ96" s="21"/>
    </row>
    <row r="97" spans="2:69" ht="15">
      <c r="BQ97" s="62"/>
    </row>
    <row r="98" spans="2:69" ht="13.2">
      <c r="BQ98" s="63"/>
    </row>
    <row r="99" spans="2:69" s="16" customFormat="1" ht="6.9" customHeight="1">
      <c r="B99" s="45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7"/>
      <c r="BQ99" s="63"/>
    </row>
    <row r="100" spans="2:69" s="16" customFormat="1" ht="36.9" customHeight="1">
      <c r="B100" s="17"/>
      <c r="C100" s="162" t="s">
        <v>101</v>
      </c>
      <c r="D100" s="216"/>
      <c r="E100" s="216"/>
      <c r="F100" s="216"/>
      <c r="G100" s="216"/>
      <c r="H100" s="216"/>
      <c r="I100" s="216"/>
      <c r="J100" s="216"/>
      <c r="K100" s="216"/>
      <c r="L100" s="216"/>
      <c r="M100" s="216"/>
      <c r="N100" s="216"/>
      <c r="O100" s="216"/>
      <c r="P100" s="216"/>
      <c r="Q100" s="216"/>
      <c r="R100" s="19"/>
      <c r="BQ100" s="63"/>
    </row>
    <row r="101" spans="2:69" s="16" customFormat="1" ht="6.9" customHeight="1">
      <c r="B101" s="17"/>
      <c r="R101" s="19"/>
      <c r="BQ101" s="63"/>
    </row>
    <row r="102" spans="2:69" s="16" customFormat="1" ht="30" customHeight="1">
      <c r="B102" s="17"/>
      <c r="C102" s="15" t="s">
        <v>12</v>
      </c>
      <c r="F102" s="217" t="str">
        <f>F6</f>
        <v>Revitalizace objektu MŠ-Srdíčko v Praze 12</v>
      </c>
      <c r="G102" s="218"/>
      <c r="H102" s="218"/>
      <c r="I102" s="218"/>
      <c r="J102" s="218"/>
      <c r="K102" s="218"/>
      <c r="L102" s="218"/>
      <c r="M102" s="218"/>
      <c r="N102" s="218"/>
      <c r="O102" s="218"/>
      <c r="P102" s="218"/>
      <c r="R102" s="19"/>
      <c r="BQ102" s="63"/>
    </row>
    <row r="103" spans="2:69" s="16" customFormat="1" ht="36.9" customHeight="1">
      <c r="B103" s="17"/>
      <c r="C103" s="48" t="s">
        <v>69</v>
      </c>
      <c r="F103" s="188" t="str">
        <f>F7</f>
        <v>obj. D - Stínění (žaluzie)</v>
      </c>
      <c r="G103" s="216"/>
      <c r="H103" s="216"/>
      <c r="I103" s="216"/>
      <c r="J103" s="216"/>
      <c r="K103" s="216"/>
      <c r="L103" s="216"/>
      <c r="M103" s="216"/>
      <c r="N103" s="216"/>
      <c r="O103" s="216"/>
      <c r="P103" s="216"/>
      <c r="R103" s="19"/>
      <c r="BQ103" s="63"/>
    </row>
    <row r="104" spans="2:69" s="16" customFormat="1" ht="6.9" customHeight="1">
      <c r="B104" s="17"/>
      <c r="R104" s="19"/>
      <c r="BQ104" s="63"/>
    </row>
    <row r="105" spans="2:69" s="16" customFormat="1" ht="18" customHeight="1">
      <c r="B105" s="17"/>
      <c r="C105" s="15" t="s">
        <v>16</v>
      </c>
      <c r="F105" s="20" t="str">
        <f>F9</f>
        <v>Levského 3203/19, Praha 12 - Modřany</v>
      </c>
      <c r="K105" s="15" t="s">
        <v>18</v>
      </c>
      <c r="M105" s="209" t="str">
        <f>IF(O9="","",O9)</f>
        <v>Vyplň údaj</v>
      </c>
      <c r="N105" s="209"/>
      <c r="O105" s="209"/>
      <c r="P105" s="209"/>
      <c r="R105" s="19"/>
      <c r="BQ105" s="63"/>
    </row>
    <row r="106" spans="2:69" s="16" customFormat="1" ht="6.9" customHeight="1">
      <c r="B106" s="17"/>
      <c r="R106" s="19"/>
      <c r="BQ106" s="63"/>
    </row>
    <row r="107" spans="2:69" s="16" customFormat="1" ht="13.2">
      <c r="B107" s="17"/>
      <c r="C107" s="15" t="s">
        <v>19</v>
      </c>
      <c r="F107" s="20" t="str">
        <f>E12</f>
        <v>Městská čásť Praha 12, Písková 830/25 Praha 4</v>
      </c>
      <c r="K107" s="15" t="s">
        <v>24</v>
      </c>
      <c r="M107" s="164" t="str">
        <f>E18</f>
        <v>Projektová kancelář ATLAS s.r.o., Čiklova1706/13 a</v>
      </c>
      <c r="N107" s="164"/>
      <c r="O107" s="164"/>
      <c r="P107" s="164"/>
      <c r="Q107" s="164"/>
      <c r="R107" s="19"/>
      <c r="BQ107" s="63"/>
    </row>
    <row r="108" spans="2:69" s="16" customFormat="1" ht="14.4" customHeight="1">
      <c r="B108" s="17"/>
      <c r="C108" s="15" t="s">
        <v>23</v>
      </c>
      <c r="F108" s="20" t="str">
        <f>IF(E15="","",E15)</f>
        <v>Vyplň údaj</v>
      </c>
      <c r="K108" s="15" t="s">
        <v>26</v>
      </c>
      <c r="M108" s="164" t="str">
        <f>E21</f>
        <v>Vyplň údaj</v>
      </c>
      <c r="N108" s="164"/>
      <c r="O108" s="164"/>
      <c r="P108" s="164"/>
      <c r="Q108" s="164"/>
      <c r="R108" s="19"/>
      <c r="BQ108" s="62"/>
    </row>
    <row r="109" spans="2:69" s="16" customFormat="1" ht="10.35" customHeight="1">
      <c r="B109" s="17"/>
      <c r="R109" s="19"/>
      <c r="BQ109" s="63"/>
    </row>
    <row r="110" spans="2:69" s="49" customFormat="1" ht="29.25" customHeight="1">
      <c r="B110" s="64"/>
      <c r="C110" s="65" t="s">
        <v>102</v>
      </c>
      <c r="D110" s="66" t="s">
        <v>103</v>
      </c>
      <c r="E110" s="66" t="s">
        <v>48</v>
      </c>
      <c r="F110" s="210" t="s">
        <v>104</v>
      </c>
      <c r="G110" s="210"/>
      <c r="H110" s="210"/>
      <c r="I110" s="210"/>
      <c r="J110" s="66" t="s">
        <v>105</v>
      </c>
      <c r="K110" s="66" t="s">
        <v>106</v>
      </c>
      <c r="L110" s="210" t="s">
        <v>107</v>
      </c>
      <c r="M110" s="210"/>
      <c r="N110" s="210" t="s">
        <v>76</v>
      </c>
      <c r="O110" s="210"/>
      <c r="P110" s="210"/>
      <c r="Q110" s="211"/>
      <c r="R110" s="67"/>
      <c r="T110" s="68" t="s">
        <v>108</v>
      </c>
      <c r="U110" s="69" t="s">
        <v>31</v>
      </c>
      <c r="V110" s="69" t="s">
        <v>109</v>
      </c>
      <c r="W110" s="69" t="s">
        <v>110</v>
      </c>
      <c r="X110" s="69" t="s">
        <v>111</v>
      </c>
      <c r="Y110" s="69" t="s">
        <v>112</v>
      </c>
      <c r="Z110" s="69" t="s">
        <v>113</v>
      </c>
      <c r="AA110" s="70" t="s">
        <v>114</v>
      </c>
      <c r="BK110" s="49" t="s">
        <v>447</v>
      </c>
      <c r="BL110" s="49" t="s">
        <v>448</v>
      </c>
      <c r="BM110" s="49" t="s">
        <v>449</v>
      </c>
      <c r="BN110" s="49" t="s">
        <v>450</v>
      </c>
      <c r="BQ110" s="63"/>
    </row>
    <row r="111" spans="2:69" s="16" customFormat="1" ht="29.25" customHeight="1">
      <c r="B111" s="17"/>
      <c r="C111" s="71" t="s">
        <v>72</v>
      </c>
      <c r="N111" s="236">
        <f>+N112+N134</f>
        <v>0</v>
      </c>
      <c r="O111" s="237"/>
      <c r="P111" s="237"/>
      <c r="Q111" s="237"/>
      <c r="R111" s="19"/>
      <c r="T111" s="72"/>
      <c r="U111" s="22"/>
      <c r="V111" s="22"/>
      <c r="W111" s="73" t="e">
        <f>#REF!+#REF!+#REF!+#REF!</f>
        <v>#REF!</v>
      </c>
      <c r="X111" s="22"/>
      <c r="Y111" s="73" t="e">
        <f>#REF!+#REF!+#REF!+#REF!</f>
        <v>#REF!</v>
      </c>
      <c r="Z111" s="22"/>
      <c r="AA111" s="74" t="e">
        <f>#REF!+#REF!+#REF!+#REF!</f>
        <v>#REF!</v>
      </c>
      <c r="AT111" s="8" t="s">
        <v>53</v>
      </c>
      <c r="AU111" s="8" t="s">
        <v>78</v>
      </c>
      <c r="BK111" s="75" t="e">
        <f>+BK112+#REF!</f>
        <v>#REF!</v>
      </c>
      <c r="BL111" s="75"/>
      <c r="BM111" s="75" t="e">
        <f>+BM112+#REF!</f>
        <v>#REF!</v>
      </c>
      <c r="BN111" s="75" t="e">
        <f>+BN112+#REF!</f>
        <v>#REF!</v>
      </c>
      <c r="BO111" s="51"/>
      <c r="BP111" s="51"/>
      <c r="BQ111" s="63"/>
    </row>
    <row r="112" spans="2:69" s="77" customFormat="1" ht="37.35" customHeight="1">
      <c r="B112" s="76"/>
      <c r="D112" s="78" t="s">
        <v>89</v>
      </c>
      <c r="E112" s="78"/>
      <c r="F112" s="78"/>
      <c r="G112" s="78"/>
      <c r="H112" s="78"/>
      <c r="I112" s="78"/>
      <c r="J112" s="78"/>
      <c r="K112" s="78"/>
      <c r="L112" s="78"/>
      <c r="M112" s="78"/>
      <c r="N112" s="207">
        <f>+N113+N123</f>
        <v>0</v>
      </c>
      <c r="O112" s="208"/>
      <c r="P112" s="208"/>
      <c r="Q112" s="208"/>
      <c r="R112" s="79"/>
      <c r="T112" s="80"/>
      <c r="W112" s="81" t="e">
        <f>W113+#REF!+#REF!+#REF!+#REF!+#REF!+#REF!+#REF!+#REF!</f>
        <v>#REF!</v>
      </c>
      <c r="Y112" s="81" t="e">
        <f>Y113+#REF!+#REF!+#REF!+#REF!+#REF!+#REF!+#REF!+#REF!</f>
        <v>#REF!</v>
      </c>
      <c r="AA112" s="82" t="e">
        <f>AA113+#REF!+#REF!+#REF!+#REF!+#REF!+#REF!+#REF!+#REF!</f>
        <v>#REF!</v>
      </c>
      <c r="AR112" s="83" t="s">
        <v>67</v>
      </c>
      <c r="AT112" s="84" t="s">
        <v>53</v>
      </c>
      <c r="AU112" s="84" t="s">
        <v>54</v>
      </c>
      <c r="AY112" s="83" t="s">
        <v>115</v>
      </c>
      <c r="BK112" s="56">
        <f>+BK113+BK123</f>
        <v>0</v>
      </c>
      <c r="BL112" s="56"/>
      <c r="BM112" s="56">
        <f>+BM113+BM123</f>
        <v>0</v>
      </c>
      <c r="BN112" s="56">
        <f>+BN113+BN123</f>
        <v>0</v>
      </c>
      <c r="BO112" s="85"/>
      <c r="BQ112" s="63"/>
    </row>
    <row r="113" spans="1:70" s="77" customFormat="1" ht="29.85" customHeight="1">
      <c r="B113" s="76"/>
      <c r="D113" s="86" t="s">
        <v>645</v>
      </c>
      <c r="E113" s="86"/>
      <c r="F113" s="86"/>
      <c r="G113" s="86"/>
      <c r="H113" s="86"/>
      <c r="I113" s="86"/>
      <c r="J113" s="86"/>
      <c r="K113" s="86"/>
      <c r="L113" s="86"/>
      <c r="M113" s="86"/>
      <c r="N113" s="200">
        <f>SUM(N114:Q121)</f>
        <v>0</v>
      </c>
      <c r="O113" s="200"/>
      <c r="P113" s="200"/>
      <c r="Q113" s="200"/>
      <c r="R113" s="79"/>
      <c r="T113" s="80"/>
      <c r="W113" s="81">
        <f>SUM(W114:W121)</f>
        <v>0</v>
      </c>
      <c r="Y113" s="81">
        <f>SUM(Y114:Y121)</f>
        <v>0</v>
      </c>
      <c r="AA113" s="82">
        <f>SUM(AA114:AA121)</f>
        <v>0</v>
      </c>
      <c r="AR113" s="83" t="s">
        <v>67</v>
      </c>
      <c r="AT113" s="84" t="s">
        <v>53</v>
      </c>
      <c r="AU113" s="84" t="s">
        <v>56</v>
      </c>
      <c r="AY113" s="83" t="s">
        <v>115</v>
      </c>
      <c r="BK113" s="56">
        <f>SUM(BK114:BK121)</f>
        <v>0</v>
      </c>
      <c r="BL113" s="56"/>
      <c r="BM113" s="56">
        <f>SUM(BM114:BM121)</f>
        <v>0</v>
      </c>
      <c r="BN113" s="56">
        <f>SUM(BN114:BN121)</f>
        <v>0</v>
      </c>
      <c r="BQ113" s="63"/>
    </row>
    <row r="114" spans="1:70" s="16" customFormat="1" ht="38.25" customHeight="1">
      <c r="B114" s="17"/>
      <c r="C114" s="87">
        <v>1</v>
      </c>
      <c r="D114" s="87" t="s">
        <v>116</v>
      </c>
      <c r="E114" s="88" t="s">
        <v>452</v>
      </c>
      <c r="F114" s="227" t="s">
        <v>453</v>
      </c>
      <c r="G114" s="228"/>
      <c r="H114" s="228"/>
      <c r="I114" s="229"/>
      <c r="J114" s="89" t="s">
        <v>138</v>
      </c>
      <c r="K114" s="90">
        <v>1</v>
      </c>
      <c r="L114" s="193"/>
      <c r="M114" s="194"/>
      <c r="N114" s="233">
        <f t="shared" ref="N114:N116" si="4">ROUND(L114*K114,2)</f>
        <v>0</v>
      </c>
      <c r="O114" s="234"/>
      <c r="P114" s="234"/>
      <c r="Q114" s="235"/>
      <c r="R114" s="19"/>
      <c r="T114" s="91" t="s">
        <v>4</v>
      </c>
      <c r="U114" s="92" t="s">
        <v>32</v>
      </c>
      <c r="W114" s="93">
        <f t="shared" ref="W114:W116" si="5">V114*K114</f>
        <v>0</v>
      </c>
      <c r="X114" s="93">
        <v>0</v>
      </c>
      <c r="Y114" s="93">
        <f t="shared" ref="Y114:Y116" si="6">X114*K114</f>
        <v>0</v>
      </c>
      <c r="Z114" s="93">
        <v>0</v>
      </c>
      <c r="AA114" s="94">
        <f t="shared" ref="AA114:AA116" si="7">Z114*K114</f>
        <v>0</v>
      </c>
      <c r="AR114" s="8" t="s">
        <v>156</v>
      </c>
      <c r="AT114" s="8" t="s">
        <v>116</v>
      </c>
      <c r="AU114" s="8" t="s">
        <v>67</v>
      </c>
      <c r="AY114" s="8" t="s">
        <v>115</v>
      </c>
      <c r="BE114" s="51">
        <f t="shared" ref="BE114:BE116" si="8">IF(U114="základní",N114,0)</f>
        <v>0</v>
      </c>
      <c r="BF114" s="51">
        <f t="shared" ref="BF114:BF116" si="9">IF(U114="snížená",N114,0)</f>
        <v>0</v>
      </c>
      <c r="BG114" s="51">
        <f t="shared" ref="BG114:BG116" si="10">IF(U114="zákl. přenesená",N114,0)</f>
        <v>0</v>
      </c>
      <c r="BH114" s="51">
        <f t="shared" ref="BH114:BH116" si="11">IF(U114="sníž. přenesená",N114,0)</f>
        <v>0</v>
      </c>
      <c r="BI114" s="51">
        <f t="shared" ref="BI114:BI116" si="12">IF(U114="nulová",N114,0)</f>
        <v>0</v>
      </c>
      <c r="BJ114" s="8" t="s">
        <v>56</v>
      </c>
      <c r="BK114" s="51">
        <f>ROUND(L114*K114,2)</f>
        <v>0</v>
      </c>
      <c r="BL114" s="95" t="s">
        <v>454</v>
      </c>
      <c r="BM114" s="51">
        <f>+IF(BL114="U",+N114,0)</f>
        <v>0</v>
      </c>
      <c r="BN114" s="51">
        <f>+IF(BL114="N",+N114,0)</f>
        <v>0</v>
      </c>
      <c r="BQ114" s="96"/>
    </row>
    <row r="115" spans="1:70" s="16" customFormat="1" ht="25.5" customHeight="1">
      <c r="B115" s="17"/>
      <c r="C115" s="87">
        <v>4</v>
      </c>
      <c r="D115" s="87" t="s">
        <v>116</v>
      </c>
      <c r="E115" s="88" t="s">
        <v>457</v>
      </c>
      <c r="F115" s="227" t="s">
        <v>458</v>
      </c>
      <c r="G115" s="228"/>
      <c r="H115" s="228"/>
      <c r="I115" s="229"/>
      <c r="J115" s="89" t="s">
        <v>138</v>
      </c>
      <c r="K115" s="90">
        <f>+SUM(K125:K132)</f>
        <v>49</v>
      </c>
      <c r="L115" s="193"/>
      <c r="M115" s="194"/>
      <c r="N115" s="233">
        <f t="shared" si="4"/>
        <v>0</v>
      </c>
      <c r="O115" s="234"/>
      <c r="P115" s="234"/>
      <c r="Q115" s="235"/>
      <c r="R115" s="19"/>
      <c r="T115" s="91" t="s">
        <v>4</v>
      </c>
      <c r="U115" s="92" t="s">
        <v>32</v>
      </c>
      <c r="W115" s="93">
        <f t="shared" si="5"/>
        <v>0</v>
      </c>
      <c r="X115" s="93">
        <v>0</v>
      </c>
      <c r="Y115" s="93">
        <f t="shared" si="6"/>
        <v>0</v>
      </c>
      <c r="Z115" s="93">
        <v>0</v>
      </c>
      <c r="AA115" s="94">
        <f t="shared" si="7"/>
        <v>0</v>
      </c>
      <c r="AR115" s="8" t="s">
        <v>156</v>
      </c>
      <c r="AT115" s="8" t="s">
        <v>116</v>
      </c>
      <c r="AU115" s="8" t="s">
        <v>67</v>
      </c>
      <c r="AY115" s="8" t="s">
        <v>115</v>
      </c>
      <c r="BE115" s="51">
        <f t="shared" si="8"/>
        <v>0</v>
      </c>
      <c r="BF115" s="51">
        <f t="shared" si="9"/>
        <v>0</v>
      </c>
      <c r="BG115" s="51">
        <f t="shared" si="10"/>
        <v>0</v>
      </c>
      <c r="BH115" s="51">
        <f t="shared" si="11"/>
        <v>0</v>
      </c>
      <c r="BI115" s="51">
        <f t="shared" si="12"/>
        <v>0</v>
      </c>
      <c r="BJ115" s="8" t="s">
        <v>56</v>
      </c>
      <c r="BK115" s="51">
        <f t="shared" ref="BK115:BK116" si="13">ROUND(L115*K115,2)</f>
        <v>0</v>
      </c>
      <c r="BL115" s="95" t="s">
        <v>454</v>
      </c>
      <c r="BM115" s="51">
        <f t="shared" ref="BM115:BM116" si="14">+IF(BL115="U",+N115,0)</f>
        <v>0</v>
      </c>
      <c r="BN115" s="51">
        <f t="shared" ref="BN115:BN116" si="15">+IF(BL115="N",+N115,0)</f>
        <v>0</v>
      </c>
      <c r="BQ115" s="96"/>
    </row>
    <row r="116" spans="1:70" s="16" customFormat="1" ht="26.25" customHeight="1">
      <c r="B116" s="17"/>
      <c r="C116" s="87">
        <v>5</v>
      </c>
      <c r="D116" s="87" t="s">
        <v>116</v>
      </c>
      <c r="E116" s="88" t="s">
        <v>455</v>
      </c>
      <c r="F116" s="227" t="s">
        <v>664</v>
      </c>
      <c r="G116" s="228"/>
      <c r="H116" s="228"/>
      <c r="I116" s="229"/>
      <c r="J116" s="89" t="s">
        <v>138</v>
      </c>
      <c r="K116" s="90">
        <f>+K115</f>
        <v>49</v>
      </c>
      <c r="L116" s="193"/>
      <c r="M116" s="194"/>
      <c r="N116" s="233">
        <f t="shared" si="4"/>
        <v>0</v>
      </c>
      <c r="O116" s="234"/>
      <c r="P116" s="234"/>
      <c r="Q116" s="235"/>
      <c r="R116" s="19"/>
      <c r="T116" s="91" t="s">
        <v>4</v>
      </c>
      <c r="U116" s="92" t="s">
        <v>32</v>
      </c>
      <c r="W116" s="93">
        <f t="shared" si="5"/>
        <v>0</v>
      </c>
      <c r="X116" s="93">
        <v>0</v>
      </c>
      <c r="Y116" s="93">
        <f t="shared" si="6"/>
        <v>0</v>
      </c>
      <c r="Z116" s="93">
        <v>0</v>
      </c>
      <c r="AA116" s="94">
        <f t="shared" si="7"/>
        <v>0</v>
      </c>
      <c r="AR116" s="8" t="s">
        <v>156</v>
      </c>
      <c r="AT116" s="8" t="s">
        <v>116</v>
      </c>
      <c r="AU116" s="8" t="s">
        <v>67</v>
      </c>
      <c r="AY116" s="8" t="s">
        <v>115</v>
      </c>
      <c r="BE116" s="51">
        <f t="shared" si="8"/>
        <v>0</v>
      </c>
      <c r="BF116" s="51">
        <f t="shared" si="9"/>
        <v>0</v>
      </c>
      <c r="BG116" s="51">
        <f t="shared" si="10"/>
        <v>0</v>
      </c>
      <c r="BH116" s="51">
        <f t="shared" si="11"/>
        <v>0</v>
      </c>
      <c r="BI116" s="51">
        <f t="shared" si="12"/>
        <v>0</v>
      </c>
      <c r="BJ116" s="8" t="s">
        <v>56</v>
      </c>
      <c r="BK116" s="51">
        <f t="shared" si="13"/>
        <v>0</v>
      </c>
      <c r="BL116" s="95" t="s">
        <v>454</v>
      </c>
      <c r="BM116" s="51">
        <f t="shared" si="14"/>
        <v>0</v>
      </c>
      <c r="BN116" s="51">
        <f t="shared" si="15"/>
        <v>0</v>
      </c>
      <c r="BQ116" s="96"/>
    </row>
    <row r="117" spans="1:70" s="16" customFormat="1" ht="52.5" customHeight="1">
      <c r="B117" s="17"/>
      <c r="C117" s="97">
        <v>5</v>
      </c>
      <c r="D117" s="97" t="s">
        <v>116</v>
      </c>
      <c r="E117" s="98" t="s">
        <v>455</v>
      </c>
      <c r="F117" s="198" t="s">
        <v>665</v>
      </c>
      <c r="G117" s="198"/>
      <c r="H117" s="198"/>
      <c r="I117" s="198"/>
      <c r="J117" s="99" t="s">
        <v>138</v>
      </c>
      <c r="K117" s="100">
        <f>+K116</f>
        <v>49</v>
      </c>
      <c r="L117" s="193"/>
      <c r="M117" s="194"/>
      <c r="N117" s="199">
        <f t="shared" ref="N117" si="16">ROUND(L117*K117,2)</f>
        <v>0</v>
      </c>
      <c r="O117" s="195"/>
      <c r="P117" s="195"/>
      <c r="Q117" s="195"/>
      <c r="R117" s="19"/>
      <c r="T117" s="91" t="s">
        <v>4</v>
      </c>
      <c r="U117" s="92" t="s">
        <v>32</v>
      </c>
      <c r="W117" s="93">
        <f t="shared" ref="W117" si="17">V117*K117</f>
        <v>0</v>
      </c>
      <c r="X117" s="93">
        <v>0</v>
      </c>
      <c r="Y117" s="93">
        <f t="shared" ref="Y117" si="18">X117*K117</f>
        <v>0</v>
      </c>
      <c r="Z117" s="93">
        <v>0</v>
      </c>
      <c r="AA117" s="94">
        <f t="shared" ref="AA117" si="19">Z117*K117</f>
        <v>0</v>
      </c>
      <c r="AR117" s="8" t="s">
        <v>156</v>
      </c>
      <c r="AT117" s="8" t="s">
        <v>116</v>
      </c>
      <c r="AU117" s="8" t="s">
        <v>67</v>
      </c>
      <c r="AY117" s="8" t="s">
        <v>115</v>
      </c>
      <c r="BE117" s="51">
        <f t="shared" ref="BE117" si="20">IF(U117="základní",N117,0)</f>
        <v>0</v>
      </c>
      <c r="BF117" s="51">
        <f t="shared" ref="BF117" si="21">IF(U117="snížená",N117,0)</f>
        <v>0</v>
      </c>
      <c r="BG117" s="51">
        <f t="shared" ref="BG117" si="22">IF(U117="zákl. přenesená",N117,0)</f>
        <v>0</v>
      </c>
      <c r="BH117" s="51">
        <f t="shared" ref="BH117" si="23">IF(U117="sníž. přenesená",N117,0)</f>
        <v>0</v>
      </c>
      <c r="BI117" s="51">
        <f t="shared" ref="BI117" si="24">IF(U117="nulová",N117,0)</f>
        <v>0</v>
      </c>
      <c r="BJ117" s="8" t="s">
        <v>56</v>
      </c>
      <c r="BK117" s="51">
        <f t="shared" ref="BK117" si="25">ROUND(L117*K117,2)</f>
        <v>0</v>
      </c>
      <c r="BL117" s="95" t="s">
        <v>454</v>
      </c>
      <c r="BM117" s="51">
        <f t="shared" ref="BM117" si="26">+IF(BL117="U",+N117,0)</f>
        <v>0</v>
      </c>
      <c r="BN117" s="51">
        <f t="shared" ref="BN117" si="27">+IF(BL117="N",+N117,0)</f>
        <v>0</v>
      </c>
      <c r="BQ117" s="101"/>
      <c r="BR117" s="102"/>
    </row>
    <row r="118" spans="1:70" s="16" customFormat="1" ht="25.5" customHeight="1">
      <c r="B118" s="17"/>
      <c r="C118" s="87">
        <v>6</v>
      </c>
      <c r="D118" s="87" t="s">
        <v>116</v>
      </c>
      <c r="E118" s="88" t="s">
        <v>459</v>
      </c>
      <c r="F118" s="227" t="s">
        <v>668</v>
      </c>
      <c r="G118" s="228"/>
      <c r="H118" s="228"/>
      <c r="I118" s="229"/>
      <c r="J118" s="89" t="s">
        <v>135</v>
      </c>
      <c r="K118" s="90">
        <f>395*2.5</f>
        <v>987.5</v>
      </c>
      <c r="L118" s="193"/>
      <c r="M118" s="194"/>
      <c r="N118" s="233">
        <f t="shared" ref="N118:N121" si="28">ROUND(L118*K118,2)</f>
        <v>0</v>
      </c>
      <c r="O118" s="234"/>
      <c r="P118" s="234"/>
      <c r="Q118" s="235"/>
      <c r="R118" s="19"/>
      <c r="T118" s="91" t="s">
        <v>4</v>
      </c>
      <c r="U118" s="92" t="s">
        <v>32</v>
      </c>
      <c r="W118" s="93">
        <f t="shared" ref="W118" si="29">V118*K118</f>
        <v>0</v>
      </c>
      <c r="X118" s="93">
        <v>0</v>
      </c>
      <c r="Y118" s="93">
        <f t="shared" ref="Y118" si="30">X118*K118</f>
        <v>0</v>
      </c>
      <c r="Z118" s="93">
        <v>0</v>
      </c>
      <c r="AA118" s="94">
        <f t="shared" ref="AA118" si="31">Z118*K118</f>
        <v>0</v>
      </c>
      <c r="AR118" s="8" t="s">
        <v>156</v>
      </c>
      <c r="AT118" s="8" t="s">
        <v>116</v>
      </c>
      <c r="AU118" s="8" t="s">
        <v>67</v>
      </c>
      <c r="AY118" s="8" t="s">
        <v>115</v>
      </c>
      <c r="BE118" s="51">
        <f t="shared" ref="BE118" si="32">IF(U118="základní",N118,0)</f>
        <v>0</v>
      </c>
      <c r="BF118" s="51">
        <f t="shared" ref="BF118" si="33">IF(U118="snížená",N118,0)</f>
        <v>0</v>
      </c>
      <c r="BG118" s="51">
        <f t="shared" ref="BG118" si="34">IF(U118="zákl. přenesená",N118,0)</f>
        <v>0</v>
      </c>
      <c r="BH118" s="51">
        <f t="shared" ref="BH118" si="35">IF(U118="sníž. přenesená",N118,0)</f>
        <v>0</v>
      </c>
      <c r="BI118" s="51">
        <f t="shared" ref="BI118" si="36">IF(U118="nulová",N118,0)</f>
        <v>0</v>
      </c>
      <c r="BJ118" s="8" t="s">
        <v>56</v>
      </c>
      <c r="BK118" s="51">
        <f t="shared" ref="BK118" si="37">ROUND(L118*K118,2)</f>
        <v>0</v>
      </c>
      <c r="BL118" s="95" t="s">
        <v>454</v>
      </c>
      <c r="BM118" s="51">
        <f t="shared" ref="BM118" si="38">+IF(BL118="U",+N118,0)</f>
        <v>0</v>
      </c>
      <c r="BN118" s="51">
        <f t="shared" ref="BN118" si="39">+IF(BL118="N",+N118,0)</f>
        <v>0</v>
      </c>
      <c r="BQ118" s="96"/>
    </row>
    <row r="119" spans="1:70" s="16" customFormat="1" ht="25.5" customHeight="1">
      <c r="B119" s="17"/>
      <c r="C119" s="87" t="s">
        <v>654</v>
      </c>
      <c r="D119" s="87" t="s">
        <v>116</v>
      </c>
      <c r="E119" s="88" t="s">
        <v>459</v>
      </c>
      <c r="F119" s="227" t="s">
        <v>669</v>
      </c>
      <c r="G119" s="228"/>
      <c r="H119" s="228"/>
      <c r="I119" s="229"/>
      <c r="J119" s="89" t="s">
        <v>135</v>
      </c>
      <c r="K119" s="90">
        <f>6*49</f>
        <v>294</v>
      </c>
      <c r="L119" s="193"/>
      <c r="M119" s="194"/>
      <c r="N119" s="233">
        <f t="shared" ref="N119:N120" si="40">ROUND(L119*K119,2)</f>
        <v>0</v>
      </c>
      <c r="O119" s="234"/>
      <c r="P119" s="234"/>
      <c r="Q119" s="235"/>
      <c r="R119" s="19"/>
      <c r="T119" s="91" t="s">
        <v>4</v>
      </c>
      <c r="U119" s="92" t="s">
        <v>32</v>
      </c>
      <c r="W119" s="93">
        <f t="shared" ref="W119:W120" si="41">V119*K119</f>
        <v>0</v>
      </c>
      <c r="X119" s="93">
        <v>0</v>
      </c>
      <c r="Y119" s="93">
        <f t="shared" ref="Y119:Y120" si="42">X119*K119</f>
        <v>0</v>
      </c>
      <c r="Z119" s="93">
        <v>0</v>
      </c>
      <c r="AA119" s="94">
        <f t="shared" ref="AA119:AA120" si="43">Z119*K119</f>
        <v>0</v>
      </c>
      <c r="AR119" s="8" t="s">
        <v>156</v>
      </c>
      <c r="AT119" s="8" t="s">
        <v>116</v>
      </c>
      <c r="AU119" s="8" t="s">
        <v>67</v>
      </c>
      <c r="AY119" s="8" t="s">
        <v>115</v>
      </c>
      <c r="BE119" s="51">
        <f t="shared" ref="BE119:BE120" si="44">IF(U119="základní",N119,0)</f>
        <v>0</v>
      </c>
      <c r="BF119" s="51">
        <f t="shared" ref="BF119:BF120" si="45">IF(U119="snížená",N119,0)</f>
        <v>0</v>
      </c>
      <c r="BG119" s="51">
        <f t="shared" ref="BG119:BG120" si="46">IF(U119="zákl. přenesená",N119,0)</f>
        <v>0</v>
      </c>
      <c r="BH119" s="51">
        <f t="shared" ref="BH119:BH120" si="47">IF(U119="sníž. přenesená",N119,0)</f>
        <v>0</v>
      </c>
      <c r="BI119" s="51">
        <f t="shared" ref="BI119:BI120" si="48">IF(U119="nulová",N119,0)</f>
        <v>0</v>
      </c>
      <c r="BJ119" s="8" t="s">
        <v>56</v>
      </c>
      <c r="BK119" s="51">
        <f t="shared" ref="BK119:BK120" si="49">ROUND(L119*K119,2)</f>
        <v>0</v>
      </c>
      <c r="BL119" s="95" t="s">
        <v>454</v>
      </c>
      <c r="BM119" s="51">
        <f t="shared" ref="BM119:BM120" si="50">+IF(BL119="U",+N119,0)</f>
        <v>0</v>
      </c>
      <c r="BN119" s="51">
        <f t="shared" ref="BN119:BN120" si="51">+IF(BL119="N",+N119,0)</f>
        <v>0</v>
      </c>
      <c r="BQ119" s="96"/>
    </row>
    <row r="120" spans="1:70" s="16" customFormat="1" ht="52.5" customHeight="1">
      <c r="B120" s="17"/>
      <c r="C120" s="97">
        <v>3</v>
      </c>
      <c r="D120" s="97" t="s">
        <v>116</v>
      </c>
      <c r="E120" s="98" t="s">
        <v>455</v>
      </c>
      <c r="F120" s="198" t="s">
        <v>666</v>
      </c>
      <c r="G120" s="198"/>
      <c r="H120" s="198"/>
      <c r="I120" s="198"/>
      <c r="J120" s="99" t="s">
        <v>456</v>
      </c>
      <c r="K120" s="100">
        <v>8</v>
      </c>
      <c r="L120" s="193"/>
      <c r="M120" s="194"/>
      <c r="N120" s="199">
        <f t="shared" si="40"/>
        <v>0</v>
      </c>
      <c r="O120" s="195"/>
      <c r="P120" s="195"/>
      <c r="Q120" s="195"/>
      <c r="R120" s="19"/>
      <c r="T120" s="91" t="s">
        <v>4</v>
      </c>
      <c r="U120" s="92" t="s">
        <v>32</v>
      </c>
      <c r="W120" s="93">
        <f t="shared" si="41"/>
        <v>0</v>
      </c>
      <c r="X120" s="93">
        <v>0</v>
      </c>
      <c r="Y120" s="93">
        <f t="shared" si="42"/>
        <v>0</v>
      </c>
      <c r="Z120" s="93">
        <v>0</v>
      </c>
      <c r="AA120" s="94">
        <f t="shared" si="43"/>
        <v>0</v>
      </c>
      <c r="AR120" s="8" t="s">
        <v>156</v>
      </c>
      <c r="AT120" s="8" t="s">
        <v>116</v>
      </c>
      <c r="AU120" s="8" t="s">
        <v>67</v>
      </c>
      <c r="AY120" s="8" t="s">
        <v>115</v>
      </c>
      <c r="BE120" s="51">
        <f t="shared" si="44"/>
        <v>0</v>
      </c>
      <c r="BF120" s="51">
        <f t="shared" si="45"/>
        <v>0</v>
      </c>
      <c r="BG120" s="51">
        <f t="shared" si="46"/>
        <v>0</v>
      </c>
      <c r="BH120" s="51">
        <f t="shared" si="47"/>
        <v>0</v>
      </c>
      <c r="BI120" s="51">
        <f t="shared" si="48"/>
        <v>0</v>
      </c>
      <c r="BJ120" s="8" t="s">
        <v>56</v>
      </c>
      <c r="BK120" s="51">
        <f t="shared" si="49"/>
        <v>0</v>
      </c>
      <c r="BL120" s="95" t="s">
        <v>454</v>
      </c>
      <c r="BM120" s="51">
        <f t="shared" si="50"/>
        <v>0</v>
      </c>
      <c r="BN120" s="51">
        <f t="shared" si="51"/>
        <v>0</v>
      </c>
      <c r="BQ120" s="101"/>
      <c r="BR120" s="102"/>
    </row>
    <row r="121" spans="1:70" s="16" customFormat="1" ht="42.75" customHeight="1">
      <c r="B121" s="17"/>
      <c r="C121" s="87" t="s">
        <v>655</v>
      </c>
      <c r="D121" s="87" t="s">
        <v>116</v>
      </c>
      <c r="E121" s="88" t="s">
        <v>644</v>
      </c>
      <c r="F121" s="192" t="s">
        <v>667</v>
      </c>
      <c r="G121" s="192"/>
      <c r="H121" s="192"/>
      <c r="I121" s="192"/>
      <c r="J121" s="89" t="s">
        <v>440</v>
      </c>
      <c r="K121" s="90">
        <v>1</v>
      </c>
      <c r="L121" s="193"/>
      <c r="M121" s="194"/>
      <c r="N121" s="195">
        <f t="shared" si="28"/>
        <v>0</v>
      </c>
      <c r="O121" s="195"/>
      <c r="P121" s="195"/>
      <c r="Q121" s="195"/>
      <c r="R121" s="19"/>
      <c r="BQ121" s="96"/>
    </row>
    <row r="122" spans="1:70" s="106" customFormat="1" ht="21" customHeight="1">
      <c r="A122" s="16"/>
      <c r="B122" s="103"/>
      <c r="C122" s="104"/>
      <c r="D122" s="104"/>
      <c r="E122" s="105" t="s">
        <v>108</v>
      </c>
      <c r="F122" s="230" t="s">
        <v>663</v>
      </c>
      <c r="G122" s="230"/>
      <c r="H122" s="230"/>
      <c r="I122" s="230"/>
      <c r="J122" s="230"/>
      <c r="K122" s="230"/>
      <c r="L122" s="230"/>
      <c r="M122" s="230"/>
      <c r="R122" s="107"/>
      <c r="T122" s="108"/>
      <c r="AT122" s="109" t="s">
        <v>660</v>
      </c>
      <c r="AU122" s="109" t="s">
        <v>67</v>
      </c>
      <c r="AV122" s="106" t="s">
        <v>67</v>
      </c>
      <c r="AW122" s="106" t="s">
        <v>661</v>
      </c>
      <c r="AX122" s="106" t="s">
        <v>56</v>
      </c>
      <c r="AY122" s="109" t="s">
        <v>115</v>
      </c>
    </row>
    <row r="123" spans="1:70" s="77" customFormat="1" ht="29.85" customHeight="1">
      <c r="B123" s="76"/>
      <c r="D123" s="86" t="s">
        <v>451</v>
      </c>
      <c r="E123" s="86"/>
      <c r="F123" s="86"/>
      <c r="G123" s="86"/>
      <c r="H123" s="86"/>
      <c r="I123" s="86"/>
      <c r="J123" s="86"/>
      <c r="K123" s="86"/>
      <c r="L123" s="86"/>
      <c r="M123" s="86"/>
      <c r="N123" s="200">
        <f>SUM(N124:Q132)</f>
        <v>0</v>
      </c>
      <c r="O123" s="201"/>
      <c r="P123" s="201"/>
      <c r="Q123" s="201"/>
      <c r="R123" s="79"/>
      <c r="T123" s="80"/>
      <c r="W123" s="81" t="e">
        <f>SUM(#REF!)</f>
        <v>#REF!</v>
      </c>
      <c r="Y123" s="81" t="e">
        <f>SUM(#REF!)</f>
        <v>#REF!</v>
      </c>
      <c r="AA123" s="82" t="e">
        <f>SUM(#REF!)</f>
        <v>#REF!</v>
      </c>
      <c r="AR123" s="83" t="s">
        <v>67</v>
      </c>
      <c r="AT123" s="84" t="s">
        <v>53</v>
      </c>
      <c r="AU123" s="84" t="s">
        <v>56</v>
      </c>
      <c r="AY123" s="83" t="s">
        <v>115</v>
      </c>
      <c r="BK123" s="56">
        <f>SUM(BK124:BK128)</f>
        <v>0</v>
      </c>
      <c r="BL123" s="56">
        <f>SUM(BL124:BL128)</f>
        <v>0</v>
      </c>
      <c r="BM123" s="56">
        <f>SUM(BM124:BM128)</f>
        <v>0</v>
      </c>
      <c r="BN123" s="56">
        <f>SUM(BN124:BN128)</f>
        <v>0</v>
      </c>
      <c r="BQ123" s="63"/>
    </row>
    <row r="124" spans="1:70" s="16" customFormat="1" ht="39" customHeight="1">
      <c r="B124" s="17"/>
      <c r="C124" s="87">
        <v>7</v>
      </c>
      <c r="D124" s="87" t="s">
        <v>116</v>
      </c>
      <c r="E124" s="88" t="s">
        <v>608</v>
      </c>
      <c r="F124" s="192" t="s">
        <v>607</v>
      </c>
      <c r="G124" s="192"/>
      <c r="H124" s="192"/>
      <c r="I124" s="192"/>
      <c r="J124" s="89" t="s">
        <v>142</v>
      </c>
      <c r="K124" s="90">
        <f>SUM(K125:K132)</f>
        <v>49</v>
      </c>
      <c r="L124" s="193"/>
      <c r="M124" s="194"/>
      <c r="N124" s="195">
        <f t="shared" ref="N124:N132" si="52">ROUND(L124*K124,2)</f>
        <v>0</v>
      </c>
      <c r="O124" s="195"/>
      <c r="P124" s="195"/>
      <c r="Q124" s="195"/>
      <c r="R124" s="19"/>
      <c r="T124" s="91" t="s">
        <v>4</v>
      </c>
      <c r="U124" s="92" t="s">
        <v>32</v>
      </c>
      <c r="W124" s="93">
        <f t="shared" ref="W124:W132" si="53">V124*K124</f>
        <v>0</v>
      </c>
      <c r="X124" s="93">
        <v>0</v>
      </c>
      <c r="Y124" s="93">
        <f t="shared" ref="Y124:Y132" si="54">X124*K124</f>
        <v>0</v>
      </c>
      <c r="Z124" s="93">
        <v>0</v>
      </c>
      <c r="AA124" s="94">
        <f t="shared" ref="AA124:AA132" si="55">Z124*K124</f>
        <v>0</v>
      </c>
      <c r="AR124" s="8" t="s">
        <v>156</v>
      </c>
      <c r="AT124" s="8" t="s">
        <v>116</v>
      </c>
      <c r="AU124" s="8" t="s">
        <v>67</v>
      </c>
      <c r="AY124" s="8" t="s">
        <v>115</v>
      </c>
      <c r="BE124" s="51">
        <f t="shared" ref="BE124:BE132" si="56">IF(U124="základní",N124,0)</f>
        <v>0</v>
      </c>
      <c r="BF124" s="51">
        <f t="shared" ref="BF124:BF132" si="57">IF(U124="snížená",N124,0)</f>
        <v>0</v>
      </c>
      <c r="BG124" s="51">
        <f t="shared" ref="BG124:BG132" si="58">IF(U124="zákl. přenesená",N124,0)</f>
        <v>0</v>
      </c>
      <c r="BH124" s="51">
        <f t="shared" ref="BH124:BH132" si="59">IF(U124="sníž. přenesená",N124,0)</f>
        <v>0</v>
      </c>
      <c r="BI124" s="51">
        <f t="shared" ref="BI124:BI132" si="60">IF(U124="nulová",N124,0)</f>
        <v>0</v>
      </c>
      <c r="BJ124" s="8" t="s">
        <v>56</v>
      </c>
      <c r="BK124" s="51">
        <f t="shared" ref="BK124:BK132" si="61">ROUND(L124*K124,2)</f>
        <v>0</v>
      </c>
      <c r="BL124" s="95" t="s">
        <v>454</v>
      </c>
      <c r="BM124" s="51">
        <f t="shared" ref="BM124:BM132" si="62">+IF(BL124="U",+N124,0)</f>
        <v>0</v>
      </c>
      <c r="BN124" s="51">
        <f t="shared" ref="BN124:BN132" si="63">+IF(BL124="N",+N124,0)</f>
        <v>0</v>
      </c>
      <c r="BO124" s="110"/>
      <c r="BQ124" s="101"/>
    </row>
    <row r="125" spans="1:70" s="16" customFormat="1" ht="45.75" customHeight="1">
      <c r="B125" s="17"/>
      <c r="C125" s="97">
        <v>8</v>
      </c>
      <c r="D125" s="97" t="s">
        <v>166</v>
      </c>
      <c r="E125" s="98" t="s">
        <v>609</v>
      </c>
      <c r="F125" s="198" t="s">
        <v>460</v>
      </c>
      <c r="G125" s="198"/>
      <c r="H125" s="198"/>
      <c r="I125" s="198"/>
      <c r="J125" s="99" t="s">
        <v>142</v>
      </c>
      <c r="K125" s="100">
        <v>4</v>
      </c>
      <c r="L125" s="193"/>
      <c r="M125" s="194"/>
      <c r="N125" s="199">
        <f t="shared" si="52"/>
        <v>0</v>
      </c>
      <c r="O125" s="195"/>
      <c r="P125" s="195"/>
      <c r="Q125" s="195"/>
      <c r="R125" s="19"/>
      <c r="T125" s="91" t="s">
        <v>4</v>
      </c>
      <c r="U125" s="92" t="s">
        <v>32</v>
      </c>
      <c r="W125" s="93">
        <f t="shared" si="53"/>
        <v>0</v>
      </c>
      <c r="X125" s="93">
        <v>1.4999999999999999E-2</v>
      </c>
      <c r="Y125" s="93">
        <f t="shared" si="54"/>
        <v>0.06</v>
      </c>
      <c r="Z125" s="93">
        <v>0</v>
      </c>
      <c r="AA125" s="94">
        <f t="shared" si="55"/>
        <v>0</v>
      </c>
      <c r="AR125" s="8" t="s">
        <v>185</v>
      </c>
      <c r="AT125" s="8" t="s">
        <v>166</v>
      </c>
      <c r="AU125" s="8" t="s">
        <v>67</v>
      </c>
      <c r="AY125" s="8" t="s">
        <v>115</v>
      </c>
      <c r="BE125" s="51">
        <f t="shared" si="56"/>
        <v>0</v>
      </c>
      <c r="BF125" s="51">
        <f t="shared" si="57"/>
        <v>0</v>
      </c>
      <c r="BG125" s="51">
        <f t="shared" si="58"/>
        <v>0</v>
      </c>
      <c r="BH125" s="51">
        <f t="shared" si="59"/>
        <v>0</v>
      </c>
      <c r="BI125" s="51">
        <f t="shared" si="60"/>
        <v>0</v>
      </c>
      <c r="BJ125" s="8" t="s">
        <v>56</v>
      </c>
      <c r="BK125" s="51">
        <f t="shared" si="61"/>
        <v>0</v>
      </c>
      <c r="BL125" s="95" t="s">
        <v>454</v>
      </c>
      <c r="BM125" s="51">
        <f t="shared" si="62"/>
        <v>0</v>
      </c>
      <c r="BN125" s="51">
        <f t="shared" si="63"/>
        <v>0</v>
      </c>
      <c r="BQ125" s="101"/>
      <c r="BR125" s="102"/>
    </row>
    <row r="126" spans="1:70" s="16" customFormat="1" ht="45.75" customHeight="1">
      <c r="B126" s="17"/>
      <c r="C126" s="97">
        <v>9</v>
      </c>
      <c r="D126" s="97" t="s">
        <v>166</v>
      </c>
      <c r="E126" s="98" t="s">
        <v>610</v>
      </c>
      <c r="F126" s="198" t="s">
        <v>461</v>
      </c>
      <c r="G126" s="198"/>
      <c r="H126" s="198"/>
      <c r="I126" s="198"/>
      <c r="J126" s="99" t="s">
        <v>142</v>
      </c>
      <c r="K126" s="100">
        <v>4</v>
      </c>
      <c r="L126" s="193"/>
      <c r="M126" s="194"/>
      <c r="N126" s="199">
        <f t="shared" si="52"/>
        <v>0</v>
      </c>
      <c r="O126" s="195"/>
      <c r="P126" s="195"/>
      <c r="Q126" s="195"/>
      <c r="R126" s="19"/>
      <c r="T126" s="91" t="s">
        <v>4</v>
      </c>
      <c r="U126" s="92" t="s">
        <v>32</v>
      </c>
      <c r="W126" s="93">
        <f t="shared" si="53"/>
        <v>0</v>
      </c>
      <c r="X126" s="93">
        <v>1.4999999999999999E-2</v>
      </c>
      <c r="Y126" s="93">
        <f t="shared" si="54"/>
        <v>0.06</v>
      </c>
      <c r="Z126" s="93">
        <v>0</v>
      </c>
      <c r="AA126" s="94">
        <f t="shared" si="55"/>
        <v>0</v>
      </c>
      <c r="AR126" s="8" t="s">
        <v>185</v>
      </c>
      <c r="AT126" s="8" t="s">
        <v>166</v>
      </c>
      <c r="AU126" s="8" t="s">
        <v>67</v>
      </c>
      <c r="AY126" s="8" t="s">
        <v>115</v>
      </c>
      <c r="BE126" s="51">
        <f t="shared" si="56"/>
        <v>0</v>
      </c>
      <c r="BF126" s="51">
        <f t="shared" si="57"/>
        <v>0</v>
      </c>
      <c r="BG126" s="51">
        <f t="shared" si="58"/>
        <v>0</v>
      </c>
      <c r="BH126" s="51">
        <f t="shared" si="59"/>
        <v>0</v>
      </c>
      <c r="BI126" s="51">
        <f t="shared" si="60"/>
        <v>0</v>
      </c>
      <c r="BJ126" s="8" t="s">
        <v>56</v>
      </c>
      <c r="BK126" s="51">
        <f t="shared" si="61"/>
        <v>0</v>
      </c>
      <c r="BL126" s="95" t="s">
        <v>454</v>
      </c>
      <c r="BM126" s="51">
        <f t="shared" si="62"/>
        <v>0</v>
      </c>
      <c r="BN126" s="51">
        <f t="shared" si="63"/>
        <v>0</v>
      </c>
      <c r="BQ126" s="101"/>
      <c r="BR126" s="102"/>
    </row>
    <row r="127" spans="1:70" s="16" customFormat="1" ht="45.75" customHeight="1">
      <c r="B127" s="17"/>
      <c r="C127" s="97">
        <v>10</v>
      </c>
      <c r="D127" s="97" t="s">
        <v>166</v>
      </c>
      <c r="E127" s="98" t="s">
        <v>611</v>
      </c>
      <c r="F127" s="198" t="s">
        <v>462</v>
      </c>
      <c r="G127" s="198"/>
      <c r="H127" s="198"/>
      <c r="I127" s="198"/>
      <c r="J127" s="99" t="s">
        <v>142</v>
      </c>
      <c r="K127" s="100">
        <v>4</v>
      </c>
      <c r="L127" s="193"/>
      <c r="M127" s="194"/>
      <c r="N127" s="199">
        <f t="shared" si="52"/>
        <v>0</v>
      </c>
      <c r="O127" s="195"/>
      <c r="P127" s="195"/>
      <c r="Q127" s="195"/>
      <c r="R127" s="19"/>
      <c r="T127" s="91" t="s">
        <v>4</v>
      </c>
      <c r="U127" s="92" t="s">
        <v>32</v>
      </c>
      <c r="W127" s="93">
        <f t="shared" si="53"/>
        <v>0</v>
      </c>
      <c r="X127" s="93">
        <v>1.4999999999999999E-2</v>
      </c>
      <c r="Y127" s="93">
        <f t="shared" si="54"/>
        <v>0.06</v>
      </c>
      <c r="Z127" s="93">
        <v>0</v>
      </c>
      <c r="AA127" s="94">
        <f t="shared" si="55"/>
        <v>0</v>
      </c>
      <c r="AR127" s="8" t="s">
        <v>185</v>
      </c>
      <c r="AT127" s="8" t="s">
        <v>166</v>
      </c>
      <c r="AU127" s="8" t="s">
        <v>67</v>
      </c>
      <c r="AY127" s="8" t="s">
        <v>115</v>
      </c>
      <c r="BE127" s="51">
        <f t="shared" si="56"/>
        <v>0</v>
      </c>
      <c r="BF127" s="51">
        <f t="shared" si="57"/>
        <v>0</v>
      </c>
      <c r="BG127" s="51">
        <f t="shared" si="58"/>
        <v>0</v>
      </c>
      <c r="BH127" s="51">
        <f t="shared" si="59"/>
        <v>0</v>
      </c>
      <c r="BI127" s="51">
        <f t="shared" si="60"/>
        <v>0</v>
      </c>
      <c r="BJ127" s="8" t="s">
        <v>56</v>
      </c>
      <c r="BK127" s="51">
        <f t="shared" si="61"/>
        <v>0</v>
      </c>
      <c r="BL127" s="95" t="s">
        <v>454</v>
      </c>
      <c r="BM127" s="51">
        <f t="shared" si="62"/>
        <v>0</v>
      </c>
      <c r="BN127" s="51">
        <f t="shared" si="63"/>
        <v>0</v>
      </c>
      <c r="BQ127" s="101"/>
      <c r="BR127" s="102"/>
    </row>
    <row r="128" spans="1:70" s="16" customFormat="1" ht="45.75" customHeight="1">
      <c r="B128" s="17"/>
      <c r="C128" s="97">
        <v>11</v>
      </c>
      <c r="D128" s="97" t="s">
        <v>166</v>
      </c>
      <c r="E128" s="98" t="s">
        <v>612</v>
      </c>
      <c r="F128" s="198" t="s">
        <v>482</v>
      </c>
      <c r="G128" s="198"/>
      <c r="H128" s="198"/>
      <c r="I128" s="198"/>
      <c r="J128" s="99" t="s">
        <v>142</v>
      </c>
      <c r="K128" s="100">
        <v>4</v>
      </c>
      <c r="L128" s="193"/>
      <c r="M128" s="194"/>
      <c r="N128" s="199">
        <f t="shared" si="52"/>
        <v>0</v>
      </c>
      <c r="O128" s="195"/>
      <c r="P128" s="195"/>
      <c r="Q128" s="195"/>
      <c r="R128" s="19"/>
      <c r="T128" s="91" t="s">
        <v>4</v>
      </c>
      <c r="U128" s="92" t="s">
        <v>32</v>
      </c>
      <c r="W128" s="93">
        <f t="shared" si="53"/>
        <v>0</v>
      </c>
      <c r="X128" s="93">
        <v>1.4999999999999999E-2</v>
      </c>
      <c r="Y128" s="93">
        <f t="shared" si="54"/>
        <v>0.06</v>
      </c>
      <c r="Z128" s="93">
        <v>0</v>
      </c>
      <c r="AA128" s="94">
        <f t="shared" si="55"/>
        <v>0</v>
      </c>
      <c r="AR128" s="8" t="s">
        <v>185</v>
      </c>
      <c r="AT128" s="8" t="s">
        <v>166</v>
      </c>
      <c r="AU128" s="8" t="s">
        <v>67</v>
      </c>
      <c r="AY128" s="8" t="s">
        <v>115</v>
      </c>
      <c r="BE128" s="51">
        <f t="shared" si="56"/>
        <v>0</v>
      </c>
      <c r="BF128" s="51">
        <f t="shared" si="57"/>
        <v>0</v>
      </c>
      <c r="BG128" s="51">
        <f t="shared" si="58"/>
        <v>0</v>
      </c>
      <c r="BH128" s="51">
        <f t="shared" si="59"/>
        <v>0</v>
      </c>
      <c r="BI128" s="51">
        <f t="shared" si="60"/>
        <v>0</v>
      </c>
      <c r="BJ128" s="8" t="s">
        <v>56</v>
      </c>
      <c r="BK128" s="51">
        <f t="shared" si="61"/>
        <v>0</v>
      </c>
      <c r="BL128" s="95" t="s">
        <v>454</v>
      </c>
      <c r="BM128" s="51">
        <f t="shared" si="62"/>
        <v>0</v>
      </c>
      <c r="BN128" s="51">
        <f t="shared" si="63"/>
        <v>0</v>
      </c>
      <c r="BQ128" s="101"/>
      <c r="BR128" s="102"/>
    </row>
    <row r="129" spans="2:70" s="16" customFormat="1" ht="45.75" customHeight="1">
      <c r="B129" s="17"/>
      <c r="C129" s="97">
        <v>12</v>
      </c>
      <c r="D129" s="97" t="s">
        <v>166</v>
      </c>
      <c r="E129" s="98" t="s">
        <v>613</v>
      </c>
      <c r="F129" s="198" t="s">
        <v>463</v>
      </c>
      <c r="G129" s="198"/>
      <c r="H129" s="198"/>
      <c r="I129" s="198"/>
      <c r="J129" s="99" t="s">
        <v>142</v>
      </c>
      <c r="K129" s="100">
        <v>4</v>
      </c>
      <c r="L129" s="193"/>
      <c r="M129" s="194"/>
      <c r="N129" s="199">
        <f t="shared" ref="N129:N131" si="64">ROUND(L129*K129,2)</f>
        <v>0</v>
      </c>
      <c r="O129" s="195"/>
      <c r="P129" s="195"/>
      <c r="Q129" s="195"/>
      <c r="R129" s="19"/>
      <c r="T129" s="91" t="s">
        <v>4</v>
      </c>
      <c r="U129" s="92" t="s">
        <v>32</v>
      </c>
      <c r="W129" s="93">
        <f t="shared" ref="W129:W131" si="65">V129*K129</f>
        <v>0</v>
      </c>
      <c r="X129" s="93">
        <v>1.4999999999999999E-2</v>
      </c>
      <c r="Y129" s="93">
        <f t="shared" ref="Y129:Y131" si="66">X129*K129</f>
        <v>0.06</v>
      </c>
      <c r="Z129" s="93">
        <v>0</v>
      </c>
      <c r="AA129" s="94">
        <f t="shared" ref="AA129:AA131" si="67">Z129*K129</f>
        <v>0</v>
      </c>
      <c r="AR129" s="8" t="s">
        <v>185</v>
      </c>
      <c r="AT129" s="8" t="s">
        <v>166</v>
      </c>
      <c r="AU129" s="8" t="s">
        <v>67</v>
      </c>
      <c r="AY129" s="8" t="s">
        <v>115</v>
      </c>
      <c r="BE129" s="51">
        <f t="shared" ref="BE129:BE131" si="68">IF(U129="základní",N129,0)</f>
        <v>0</v>
      </c>
      <c r="BF129" s="51">
        <f t="shared" ref="BF129:BF131" si="69">IF(U129="snížená",N129,0)</f>
        <v>0</v>
      </c>
      <c r="BG129" s="51">
        <f t="shared" ref="BG129:BG131" si="70">IF(U129="zákl. přenesená",N129,0)</f>
        <v>0</v>
      </c>
      <c r="BH129" s="51">
        <f t="shared" ref="BH129:BH131" si="71">IF(U129="sníž. přenesená",N129,0)</f>
        <v>0</v>
      </c>
      <c r="BI129" s="51">
        <f t="shared" ref="BI129:BI131" si="72">IF(U129="nulová",N129,0)</f>
        <v>0</v>
      </c>
      <c r="BJ129" s="8" t="s">
        <v>56</v>
      </c>
      <c r="BK129" s="51">
        <f t="shared" ref="BK129:BK131" si="73">ROUND(L129*K129,2)</f>
        <v>0</v>
      </c>
      <c r="BL129" s="95" t="s">
        <v>454</v>
      </c>
      <c r="BM129" s="51">
        <f t="shared" ref="BM129:BM131" si="74">+IF(BL129="U",+N129,0)</f>
        <v>0</v>
      </c>
      <c r="BN129" s="51">
        <f t="shared" ref="BN129:BN131" si="75">+IF(BL129="N",+N129,0)</f>
        <v>0</v>
      </c>
      <c r="BQ129" s="101"/>
      <c r="BR129" s="102"/>
    </row>
    <row r="130" spans="2:70" s="16" customFormat="1" ht="45.75" customHeight="1">
      <c r="B130" s="17"/>
      <c r="C130" s="97">
        <v>13</v>
      </c>
      <c r="D130" s="97" t="s">
        <v>166</v>
      </c>
      <c r="E130" s="98" t="s">
        <v>614</v>
      </c>
      <c r="F130" s="198" t="s">
        <v>464</v>
      </c>
      <c r="G130" s="198"/>
      <c r="H130" s="198"/>
      <c r="I130" s="198"/>
      <c r="J130" s="99" t="s">
        <v>142</v>
      </c>
      <c r="K130" s="100">
        <v>6</v>
      </c>
      <c r="L130" s="193"/>
      <c r="M130" s="194"/>
      <c r="N130" s="199">
        <f t="shared" si="64"/>
        <v>0</v>
      </c>
      <c r="O130" s="195"/>
      <c r="P130" s="195"/>
      <c r="Q130" s="195"/>
      <c r="R130" s="19"/>
      <c r="T130" s="91" t="s">
        <v>4</v>
      </c>
      <c r="U130" s="92" t="s">
        <v>32</v>
      </c>
      <c r="W130" s="93">
        <f t="shared" si="65"/>
        <v>0</v>
      </c>
      <c r="X130" s="93">
        <v>1.4999999999999999E-2</v>
      </c>
      <c r="Y130" s="93">
        <f t="shared" si="66"/>
        <v>0.09</v>
      </c>
      <c r="Z130" s="93">
        <v>0</v>
      </c>
      <c r="AA130" s="94">
        <f t="shared" si="67"/>
        <v>0</v>
      </c>
      <c r="AR130" s="8" t="s">
        <v>185</v>
      </c>
      <c r="AT130" s="8" t="s">
        <v>166</v>
      </c>
      <c r="AU130" s="8" t="s">
        <v>67</v>
      </c>
      <c r="AY130" s="8" t="s">
        <v>115</v>
      </c>
      <c r="BE130" s="51">
        <f t="shared" si="68"/>
        <v>0</v>
      </c>
      <c r="BF130" s="51">
        <f t="shared" si="69"/>
        <v>0</v>
      </c>
      <c r="BG130" s="51">
        <f t="shared" si="70"/>
        <v>0</v>
      </c>
      <c r="BH130" s="51">
        <f t="shared" si="71"/>
        <v>0</v>
      </c>
      <c r="BI130" s="51">
        <f t="shared" si="72"/>
        <v>0</v>
      </c>
      <c r="BJ130" s="8" t="s">
        <v>56</v>
      </c>
      <c r="BK130" s="51">
        <f t="shared" si="73"/>
        <v>0</v>
      </c>
      <c r="BL130" s="95" t="s">
        <v>454</v>
      </c>
      <c r="BM130" s="51">
        <f t="shared" si="74"/>
        <v>0</v>
      </c>
      <c r="BN130" s="51">
        <f t="shared" si="75"/>
        <v>0</v>
      </c>
      <c r="BQ130" s="101"/>
      <c r="BR130" s="102"/>
    </row>
    <row r="131" spans="2:70" s="16" customFormat="1" ht="45.75" customHeight="1">
      <c r="B131" s="17"/>
      <c r="C131" s="97">
        <v>14</v>
      </c>
      <c r="D131" s="97" t="s">
        <v>166</v>
      </c>
      <c r="E131" s="98" t="s">
        <v>615</v>
      </c>
      <c r="F131" s="198" t="s">
        <v>465</v>
      </c>
      <c r="G131" s="198"/>
      <c r="H131" s="198"/>
      <c r="I131" s="198"/>
      <c r="J131" s="99" t="s">
        <v>142</v>
      </c>
      <c r="K131" s="100">
        <v>2</v>
      </c>
      <c r="L131" s="193"/>
      <c r="M131" s="194"/>
      <c r="N131" s="199">
        <f t="shared" si="64"/>
        <v>0</v>
      </c>
      <c r="O131" s="195"/>
      <c r="P131" s="195"/>
      <c r="Q131" s="195"/>
      <c r="R131" s="19"/>
      <c r="T131" s="91" t="s">
        <v>4</v>
      </c>
      <c r="U131" s="92" t="s">
        <v>32</v>
      </c>
      <c r="W131" s="93">
        <f t="shared" si="65"/>
        <v>0</v>
      </c>
      <c r="X131" s="93">
        <v>1.4999999999999999E-2</v>
      </c>
      <c r="Y131" s="93">
        <f t="shared" si="66"/>
        <v>0.03</v>
      </c>
      <c r="Z131" s="93">
        <v>0</v>
      </c>
      <c r="AA131" s="94">
        <f t="shared" si="67"/>
        <v>0</v>
      </c>
      <c r="AR131" s="8" t="s">
        <v>185</v>
      </c>
      <c r="AT131" s="8" t="s">
        <v>166</v>
      </c>
      <c r="AU131" s="8" t="s">
        <v>67</v>
      </c>
      <c r="AY131" s="8" t="s">
        <v>115</v>
      </c>
      <c r="BE131" s="51">
        <f t="shared" si="68"/>
        <v>0</v>
      </c>
      <c r="BF131" s="51">
        <f t="shared" si="69"/>
        <v>0</v>
      </c>
      <c r="BG131" s="51">
        <f t="shared" si="70"/>
        <v>0</v>
      </c>
      <c r="BH131" s="51">
        <f t="shared" si="71"/>
        <v>0</v>
      </c>
      <c r="BI131" s="51">
        <f t="shared" si="72"/>
        <v>0</v>
      </c>
      <c r="BJ131" s="8" t="s">
        <v>56</v>
      </c>
      <c r="BK131" s="51">
        <f t="shared" si="73"/>
        <v>0</v>
      </c>
      <c r="BL131" s="95" t="s">
        <v>454</v>
      </c>
      <c r="BM131" s="51">
        <f t="shared" si="74"/>
        <v>0</v>
      </c>
      <c r="BN131" s="51">
        <f t="shared" si="75"/>
        <v>0</v>
      </c>
      <c r="BQ131" s="101"/>
      <c r="BR131" s="102"/>
    </row>
    <row r="132" spans="2:70" s="16" customFormat="1" ht="45.75" customHeight="1">
      <c r="B132" s="17"/>
      <c r="C132" s="97">
        <v>15</v>
      </c>
      <c r="D132" s="97" t="s">
        <v>166</v>
      </c>
      <c r="E132" s="98" t="s">
        <v>616</v>
      </c>
      <c r="F132" s="198" t="s">
        <v>466</v>
      </c>
      <c r="G132" s="198"/>
      <c r="H132" s="198"/>
      <c r="I132" s="198"/>
      <c r="J132" s="99" t="s">
        <v>142</v>
      </c>
      <c r="K132" s="100">
        <v>21</v>
      </c>
      <c r="L132" s="193"/>
      <c r="M132" s="194"/>
      <c r="N132" s="199">
        <f t="shared" si="52"/>
        <v>0</v>
      </c>
      <c r="O132" s="195"/>
      <c r="P132" s="195"/>
      <c r="Q132" s="195"/>
      <c r="R132" s="19"/>
      <c r="T132" s="91" t="s">
        <v>4</v>
      </c>
      <c r="U132" s="92" t="s">
        <v>32</v>
      </c>
      <c r="W132" s="93">
        <f t="shared" si="53"/>
        <v>0</v>
      </c>
      <c r="X132" s="93">
        <v>1.4999999999999999E-2</v>
      </c>
      <c r="Y132" s="93">
        <f t="shared" si="54"/>
        <v>0.315</v>
      </c>
      <c r="Z132" s="93">
        <v>0</v>
      </c>
      <c r="AA132" s="94">
        <f t="shared" si="55"/>
        <v>0</v>
      </c>
      <c r="AR132" s="8" t="s">
        <v>185</v>
      </c>
      <c r="AT132" s="8" t="s">
        <v>166</v>
      </c>
      <c r="AU132" s="8" t="s">
        <v>67</v>
      </c>
      <c r="AY132" s="8" t="s">
        <v>115</v>
      </c>
      <c r="BE132" s="51">
        <f t="shared" si="56"/>
        <v>0</v>
      </c>
      <c r="BF132" s="51">
        <f t="shared" si="57"/>
        <v>0</v>
      </c>
      <c r="BG132" s="51">
        <f t="shared" si="58"/>
        <v>0</v>
      </c>
      <c r="BH132" s="51">
        <f t="shared" si="59"/>
        <v>0</v>
      </c>
      <c r="BI132" s="51">
        <f t="shared" si="60"/>
        <v>0</v>
      </c>
      <c r="BJ132" s="8" t="s">
        <v>56</v>
      </c>
      <c r="BK132" s="51">
        <f t="shared" si="61"/>
        <v>0</v>
      </c>
      <c r="BL132" s="95" t="s">
        <v>454</v>
      </c>
      <c r="BM132" s="51">
        <f t="shared" si="62"/>
        <v>0</v>
      </c>
      <c r="BN132" s="51">
        <f t="shared" si="63"/>
        <v>0</v>
      </c>
      <c r="BQ132" s="101"/>
      <c r="BR132" s="102"/>
    </row>
    <row r="133" spans="2:70" s="77" customFormat="1" ht="19.95" customHeight="1">
      <c r="B133" s="76"/>
      <c r="D133" s="86" t="s">
        <v>530</v>
      </c>
      <c r="E133" s="86"/>
      <c r="F133" s="86"/>
      <c r="G133" s="86"/>
      <c r="H133" s="86"/>
      <c r="I133" s="86"/>
      <c r="J133" s="86"/>
      <c r="K133" s="86"/>
      <c r="L133" s="86"/>
      <c r="M133" s="86"/>
      <c r="N133" s="200">
        <f>+N112</f>
        <v>0</v>
      </c>
      <c r="O133" s="201"/>
      <c r="P133" s="201"/>
      <c r="Q133" s="201"/>
      <c r="R133" s="79"/>
      <c r="S133" s="101"/>
      <c r="T133" s="111"/>
      <c r="V133" s="80"/>
      <c r="Y133" s="81">
        <f>SUM(Y134:Y142)</f>
        <v>0</v>
      </c>
      <c r="AA133" s="81">
        <f>SUM(AA134:AA142)</f>
        <v>0</v>
      </c>
      <c r="AC133" s="82">
        <f>SUM(AC134:AC142)</f>
        <v>0</v>
      </c>
      <c r="AT133" s="83" t="s">
        <v>67</v>
      </c>
      <c r="AV133" s="84" t="s">
        <v>53</v>
      </c>
      <c r="AW133" s="84" t="s">
        <v>56</v>
      </c>
      <c r="BA133" s="83" t="s">
        <v>115</v>
      </c>
      <c r="BM133" s="56">
        <f>SUM(BM134:BM142)</f>
        <v>0</v>
      </c>
      <c r="BQ133" s="101"/>
    </row>
    <row r="134" spans="2:70" s="77" customFormat="1" ht="37.35" customHeight="1">
      <c r="B134" s="76"/>
      <c r="D134" s="78" t="s">
        <v>96</v>
      </c>
      <c r="E134" s="78"/>
      <c r="F134" s="78"/>
      <c r="G134" s="78"/>
      <c r="H134" s="78"/>
      <c r="I134" s="78"/>
      <c r="J134" s="78"/>
      <c r="K134" s="78"/>
      <c r="L134" s="78"/>
      <c r="M134" s="78"/>
      <c r="N134" s="196">
        <f>+N135+N137+N139+N141</f>
        <v>0</v>
      </c>
      <c r="O134" s="197"/>
      <c r="P134" s="197"/>
      <c r="Q134" s="197"/>
      <c r="R134" s="79"/>
      <c r="S134" s="77" t="s">
        <v>529</v>
      </c>
      <c r="T134" s="80"/>
      <c r="W134" s="81">
        <f>W135+W137+W139+W141</f>
        <v>0</v>
      </c>
      <c r="Y134" s="81">
        <f>Y135+Y137+Y139+Y141</f>
        <v>0</v>
      </c>
      <c r="AA134" s="82">
        <f>AA135+AA137+AA139+AA141</f>
        <v>0</v>
      </c>
      <c r="AR134" s="83" t="s">
        <v>127</v>
      </c>
      <c r="AT134" s="84" t="s">
        <v>53</v>
      </c>
      <c r="AU134" s="84" t="s">
        <v>54</v>
      </c>
      <c r="AY134" s="83" t="s">
        <v>115</v>
      </c>
      <c r="BK134" s="56">
        <f>BK135+BK137+BK139+BK141</f>
        <v>0</v>
      </c>
      <c r="BQ134" s="101"/>
    </row>
    <row r="135" spans="2:70" s="77" customFormat="1" ht="19.95" customHeight="1">
      <c r="B135" s="76"/>
      <c r="D135" s="86" t="s">
        <v>97</v>
      </c>
      <c r="E135" s="86"/>
      <c r="F135" s="86"/>
      <c r="G135" s="86"/>
      <c r="H135" s="86"/>
      <c r="I135" s="86"/>
      <c r="J135" s="86"/>
      <c r="K135" s="86"/>
      <c r="L135" s="86"/>
      <c r="M135" s="86"/>
      <c r="N135" s="200">
        <f>+N136</f>
        <v>0</v>
      </c>
      <c r="O135" s="201"/>
      <c r="P135" s="201"/>
      <c r="Q135" s="201"/>
      <c r="R135" s="79"/>
      <c r="T135" s="80"/>
      <c r="W135" s="81">
        <f>W136</f>
        <v>0</v>
      </c>
      <c r="Y135" s="81">
        <f>Y136</f>
        <v>0</v>
      </c>
      <c r="AA135" s="82">
        <f>AA136</f>
        <v>0</v>
      </c>
      <c r="AR135" s="83" t="s">
        <v>127</v>
      </c>
      <c r="AT135" s="84" t="s">
        <v>53</v>
      </c>
      <c r="AU135" s="84" t="s">
        <v>56</v>
      </c>
      <c r="AY135" s="83" t="s">
        <v>115</v>
      </c>
      <c r="BK135" s="56">
        <f>BK136</f>
        <v>0</v>
      </c>
      <c r="BQ135" s="101"/>
    </row>
    <row r="136" spans="2:70" s="16" customFormat="1" ht="16.5" customHeight="1">
      <c r="B136" s="17"/>
      <c r="C136" s="87">
        <v>107</v>
      </c>
      <c r="D136" s="87" t="s">
        <v>116</v>
      </c>
      <c r="E136" s="88" t="s">
        <v>339</v>
      </c>
      <c r="F136" s="192" t="s">
        <v>340</v>
      </c>
      <c r="G136" s="192"/>
      <c r="H136" s="192"/>
      <c r="I136" s="192"/>
      <c r="J136" s="89" t="s">
        <v>261</v>
      </c>
      <c r="K136" s="3"/>
      <c r="L136" s="195">
        <f>+N133</f>
        <v>0</v>
      </c>
      <c r="M136" s="195"/>
      <c r="N136" s="195">
        <f>ROUND(L136*K136/100,2)</f>
        <v>0</v>
      </c>
      <c r="O136" s="195"/>
      <c r="P136" s="195"/>
      <c r="Q136" s="195"/>
      <c r="R136" s="19"/>
      <c r="T136" s="112" t="s">
        <v>4</v>
      </c>
      <c r="U136" s="92" t="s">
        <v>32</v>
      </c>
      <c r="V136" s="93">
        <v>0</v>
      </c>
      <c r="W136" s="93">
        <f>V136*K136</f>
        <v>0</v>
      </c>
      <c r="X136" s="93">
        <v>0</v>
      </c>
      <c r="Y136" s="93">
        <f>X136*K136</f>
        <v>0</v>
      </c>
      <c r="Z136" s="93">
        <v>0</v>
      </c>
      <c r="AA136" s="94">
        <f>Z136*K136</f>
        <v>0</v>
      </c>
      <c r="AR136" s="8" t="s">
        <v>341</v>
      </c>
      <c r="AT136" s="8" t="s">
        <v>116</v>
      </c>
      <c r="AU136" s="8" t="s">
        <v>67</v>
      </c>
      <c r="AY136" s="8" t="s">
        <v>115</v>
      </c>
      <c r="BE136" s="51">
        <f>IF(U136="základní",N136,0)</f>
        <v>0</v>
      </c>
      <c r="BF136" s="51">
        <f>IF(U136="snížená",N136,0)</f>
        <v>0</v>
      </c>
      <c r="BG136" s="51">
        <f>IF(U136="zákl. přenesená",N136,0)</f>
        <v>0</v>
      </c>
      <c r="BH136" s="51">
        <f>IF(U136="sníž. přenesená",N136,0)</f>
        <v>0</v>
      </c>
      <c r="BI136" s="51">
        <f>IF(U136="nulová",N136,0)</f>
        <v>0</v>
      </c>
      <c r="BJ136" s="8" t="s">
        <v>56</v>
      </c>
      <c r="BK136" s="51">
        <f>ROUND(L136*K136,2)</f>
        <v>0</v>
      </c>
      <c r="BL136" s="8" t="s">
        <v>341</v>
      </c>
      <c r="BM136" s="8" t="s">
        <v>342</v>
      </c>
      <c r="BQ136" s="101"/>
    </row>
    <row r="137" spans="2:70" s="77" customFormat="1" ht="29.85" customHeight="1">
      <c r="B137" s="76"/>
      <c r="D137" s="86" t="s">
        <v>98</v>
      </c>
      <c r="E137" s="86"/>
      <c r="F137" s="86"/>
      <c r="G137" s="86"/>
      <c r="H137" s="86"/>
      <c r="I137" s="86"/>
      <c r="J137" s="86"/>
      <c r="K137" s="86"/>
      <c r="L137" s="86"/>
      <c r="M137" s="86"/>
      <c r="N137" s="202">
        <f>+N138</f>
        <v>0</v>
      </c>
      <c r="O137" s="203"/>
      <c r="P137" s="203"/>
      <c r="Q137" s="203"/>
      <c r="R137" s="79"/>
      <c r="T137" s="80"/>
      <c r="W137" s="81">
        <f>W138</f>
        <v>0</v>
      </c>
      <c r="Y137" s="81">
        <f>Y138</f>
        <v>0</v>
      </c>
      <c r="AA137" s="82">
        <f>AA138</f>
        <v>0</v>
      </c>
      <c r="AR137" s="83" t="s">
        <v>127</v>
      </c>
      <c r="AT137" s="84" t="s">
        <v>53</v>
      </c>
      <c r="AU137" s="84" t="s">
        <v>56</v>
      </c>
      <c r="AY137" s="83" t="s">
        <v>115</v>
      </c>
      <c r="BK137" s="56">
        <f>BK138</f>
        <v>0</v>
      </c>
      <c r="BQ137" s="101"/>
    </row>
    <row r="138" spans="2:70" s="16" customFormat="1" ht="16.5" customHeight="1">
      <c r="B138" s="17"/>
      <c r="C138" s="87">
        <v>108</v>
      </c>
      <c r="D138" s="87" t="s">
        <v>116</v>
      </c>
      <c r="E138" s="88" t="s">
        <v>343</v>
      </c>
      <c r="F138" s="192" t="s">
        <v>344</v>
      </c>
      <c r="G138" s="192"/>
      <c r="H138" s="192"/>
      <c r="I138" s="192"/>
      <c r="J138" s="89" t="s">
        <v>261</v>
      </c>
      <c r="K138" s="3"/>
      <c r="L138" s="195">
        <f>+N133</f>
        <v>0</v>
      </c>
      <c r="M138" s="195"/>
      <c r="N138" s="195">
        <f>ROUND(L138*K138/100,2)</f>
        <v>0</v>
      </c>
      <c r="O138" s="195"/>
      <c r="P138" s="195"/>
      <c r="Q138" s="195"/>
      <c r="R138" s="19"/>
      <c r="T138" s="112" t="s">
        <v>4</v>
      </c>
      <c r="U138" s="92" t="s">
        <v>32</v>
      </c>
      <c r="V138" s="93">
        <v>0</v>
      </c>
      <c r="W138" s="93">
        <f>V138*K138</f>
        <v>0</v>
      </c>
      <c r="X138" s="93">
        <v>0</v>
      </c>
      <c r="Y138" s="93">
        <f>X138*K138</f>
        <v>0</v>
      </c>
      <c r="Z138" s="93">
        <v>0</v>
      </c>
      <c r="AA138" s="94">
        <f>Z138*K138</f>
        <v>0</v>
      </c>
      <c r="AR138" s="8" t="s">
        <v>341</v>
      </c>
      <c r="AT138" s="8" t="s">
        <v>116</v>
      </c>
      <c r="AU138" s="8" t="s">
        <v>67</v>
      </c>
      <c r="AY138" s="8" t="s">
        <v>115</v>
      </c>
      <c r="BE138" s="51">
        <f>IF(U138="základní",N138,0)</f>
        <v>0</v>
      </c>
      <c r="BF138" s="51">
        <f>IF(U138="snížená",N138,0)</f>
        <v>0</v>
      </c>
      <c r="BG138" s="51">
        <f>IF(U138="zákl. přenesená",N138,0)</f>
        <v>0</v>
      </c>
      <c r="BH138" s="51">
        <f>IF(U138="sníž. přenesená",N138,0)</f>
        <v>0</v>
      </c>
      <c r="BI138" s="51">
        <f>IF(U138="nulová",N138,0)</f>
        <v>0</v>
      </c>
      <c r="BJ138" s="8" t="s">
        <v>56</v>
      </c>
      <c r="BK138" s="51">
        <f>ROUND(L138*K138,2)</f>
        <v>0</v>
      </c>
      <c r="BL138" s="8" t="s">
        <v>341</v>
      </c>
      <c r="BM138" s="8" t="s">
        <v>345</v>
      </c>
      <c r="BQ138" s="101"/>
    </row>
    <row r="139" spans="2:70" s="77" customFormat="1" ht="29.85" customHeight="1">
      <c r="B139" s="76"/>
      <c r="D139" s="86" t="s">
        <v>99</v>
      </c>
      <c r="E139" s="86"/>
      <c r="F139" s="86"/>
      <c r="G139" s="86"/>
      <c r="H139" s="86"/>
      <c r="I139" s="86"/>
      <c r="J139" s="86"/>
      <c r="K139" s="86"/>
      <c r="L139" s="86"/>
      <c r="M139" s="86"/>
      <c r="N139" s="202">
        <f>+N140</f>
        <v>0</v>
      </c>
      <c r="O139" s="203"/>
      <c r="P139" s="203"/>
      <c r="Q139" s="203"/>
      <c r="R139" s="79"/>
      <c r="T139" s="80"/>
      <c r="W139" s="81">
        <f>W140</f>
        <v>0</v>
      </c>
      <c r="Y139" s="81">
        <f>Y140</f>
        <v>0</v>
      </c>
      <c r="AA139" s="82">
        <f>AA140</f>
        <v>0</v>
      </c>
      <c r="AR139" s="83" t="s">
        <v>127</v>
      </c>
      <c r="AT139" s="84" t="s">
        <v>53</v>
      </c>
      <c r="AU139" s="84" t="s">
        <v>56</v>
      </c>
      <c r="AY139" s="83" t="s">
        <v>115</v>
      </c>
      <c r="BK139" s="56">
        <f>BK140</f>
        <v>0</v>
      </c>
      <c r="BQ139" s="101"/>
    </row>
    <row r="140" spans="2:70" s="16" customFormat="1" ht="16.5" customHeight="1">
      <c r="B140" s="17"/>
      <c r="C140" s="87">
        <v>109</v>
      </c>
      <c r="D140" s="87" t="s">
        <v>116</v>
      </c>
      <c r="E140" s="88" t="s">
        <v>346</v>
      </c>
      <c r="F140" s="192" t="s">
        <v>347</v>
      </c>
      <c r="G140" s="192"/>
      <c r="H140" s="192"/>
      <c r="I140" s="192"/>
      <c r="J140" s="89" t="s">
        <v>261</v>
      </c>
      <c r="K140" s="3"/>
      <c r="L140" s="195">
        <f>+N133</f>
        <v>0</v>
      </c>
      <c r="M140" s="195"/>
      <c r="N140" s="195">
        <f>ROUND(L140*K140/100,2)</f>
        <v>0</v>
      </c>
      <c r="O140" s="195"/>
      <c r="P140" s="195"/>
      <c r="Q140" s="195"/>
      <c r="R140" s="19"/>
      <c r="T140" s="112" t="s">
        <v>4</v>
      </c>
      <c r="U140" s="92" t="s">
        <v>32</v>
      </c>
      <c r="V140" s="93">
        <v>0</v>
      </c>
      <c r="W140" s="93">
        <f>V140*K140</f>
        <v>0</v>
      </c>
      <c r="X140" s="93">
        <v>0</v>
      </c>
      <c r="Y140" s="93">
        <f>X140*K140</f>
        <v>0</v>
      </c>
      <c r="Z140" s="93">
        <v>0</v>
      </c>
      <c r="AA140" s="94">
        <f>Z140*K140</f>
        <v>0</v>
      </c>
      <c r="AR140" s="8" t="s">
        <v>341</v>
      </c>
      <c r="AT140" s="8" t="s">
        <v>116</v>
      </c>
      <c r="AU140" s="8" t="s">
        <v>67</v>
      </c>
      <c r="AY140" s="8" t="s">
        <v>115</v>
      </c>
      <c r="BE140" s="51">
        <f>IF(U140="základní",N140,0)</f>
        <v>0</v>
      </c>
      <c r="BF140" s="51">
        <f>IF(U140="snížená",N140,0)</f>
        <v>0</v>
      </c>
      <c r="BG140" s="51">
        <f>IF(U140="zákl. přenesená",N140,0)</f>
        <v>0</v>
      </c>
      <c r="BH140" s="51">
        <f>IF(U140="sníž. přenesená",N140,0)</f>
        <v>0</v>
      </c>
      <c r="BI140" s="51">
        <f>IF(U140="nulová",N140,0)</f>
        <v>0</v>
      </c>
      <c r="BJ140" s="8" t="s">
        <v>56</v>
      </c>
      <c r="BK140" s="51">
        <f>ROUND(L140*K140,2)</f>
        <v>0</v>
      </c>
      <c r="BL140" s="8" t="s">
        <v>341</v>
      </c>
      <c r="BM140" s="8" t="s">
        <v>348</v>
      </c>
      <c r="BQ140" s="101"/>
    </row>
    <row r="141" spans="2:70" s="77" customFormat="1" ht="29.85" customHeight="1">
      <c r="B141" s="76"/>
      <c r="D141" s="86" t="s">
        <v>100</v>
      </c>
      <c r="E141" s="86"/>
      <c r="F141" s="86"/>
      <c r="G141" s="86"/>
      <c r="H141" s="86"/>
      <c r="I141" s="86"/>
      <c r="J141" s="86"/>
      <c r="K141" s="86"/>
      <c r="L141" s="86"/>
      <c r="M141" s="86"/>
      <c r="N141" s="202">
        <f>+N142</f>
        <v>0</v>
      </c>
      <c r="O141" s="203"/>
      <c r="P141" s="203"/>
      <c r="Q141" s="203"/>
      <c r="R141" s="79"/>
      <c r="T141" s="80"/>
      <c r="W141" s="81">
        <f>W142</f>
        <v>0</v>
      </c>
      <c r="Y141" s="81">
        <f>Y142</f>
        <v>0</v>
      </c>
      <c r="AA141" s="82">
        <f>AA142</f>
        <v>0</v>
      </c>
      <c r="AR141" s="83" t="s">
        <v>127</v>
      </c>
      <c r="AT141" s="84" t="s">
        <v>53</v>
      </c>
      <c r="AU141" s="84" t="s">
        <v>56</v>
      </c>
      <c r="AY141" s="83" t="s">
        <v>115</v>
      </c>
      <c r="BK141" s="56">
        <f>BK142</f>
        <v>0</v>
      </c>
      <c r="BQ141" s="101"/>
    </row>
    <row r="142" spans="2:70" s="16" customFormat="1" ht="16.5" customHeight="1">
      <c r="B142" s="17"/>
      <c r="C142" s="87">
        <v>110</v>
      </c>
      <c r="D142" s="87" t="s">
        <v>116</v>
      </c>
      <c r="E142" s="88" t="s">
        <v>349</v>
      </c>
      <c r="F142" s="192" t="s">
        <v>350</v>
      </c>
      <c r="G142" s="192"/>
      <c r="H142" s="192"/>
      <c r="I142" s="192"/>
      <c r="J142" s="89" t="s">
        <v>261</v>
      </c>
      <c r="K142" s="3"/>
      <c r="L142" s="195">
        <f>+N133</f>
        <v>0</v>
      </c>
      <c r="M142" s="195"/>
      <c r="N142" s="195">
        <f>ROUND(L142*K142/100,2)</f>
        <v>0</v>
      </c>
      <c r="O142" s="195"/>
      <c r="P142" s="195"/>
      <c r="Q142" s="195"/>
      <c r="R142" s="19"/>
      <c r="T142" s="112" t="s">
        <v>4</v>
      </c>
      <c r="U142" s="113" t="s">
        <v>32</v>
      </c>
      <c r="V142" s="114">
        <v>0</v>
      </c>
      <c r="W142" s="114">
        <f>V142*K142</f>
        <v>0</v>
      </c>
      <c r="X142" s="114">
        <v>0</v>
      </c>
      <c r="Y142" s="114">
        <f>X142*K142</f>
        <v>0</v>
      </c>
      <c r="Z142" s="114">
        <v>0</v>
      </c>
      <c r="AA142" s="115">
        <f>Z142*K142</f>
        <v>0</v>
      </c>
      <c r="AR142" s="8" t="s">
        <v>341</v>
      </c>
      <c r="AT142" s="8" t="s">
        <v>116</v>
      </c>
      <c r="AU142" s="8" t="s">
        <v>67</v>
      </c>
      <c r="AY142" s="8" t="s">
        <v>115</v>
      </c>
      <c r="BE142" s="51">
        <f>IF(U142="základní",N142,0)</f>
        <v>0</v>
      </c>
      <c r="BF142" s="51">
        <f>IF(U142="snížená",N142,0)</f>
        <v>0</v>
      </c>
      <c r="BG142" s="51">
        <f>IF(U142="zákl. přenesená",N142,0)</f>
        <v>0</v>
      </c>
      <c r="BH142" s="51">
        <f>IF(U142="sníž. přenesená",N142,0)</f>
        <v>0</v>
      </c>
      <c r="BI142" s="51">
        <f>IF(U142="nulová",N142,0)</f>
        <v>0</v>
      </c>
      <c r="BJ142" s="8" t="s">
        <v>56</v>
      </c>
      <c r="BK142" s="51">
        <f>ROUND(L142*K142,2)</f>
        <v>0</v>
      </c>
      <c r="BL142" s="8" t="s">
        <v>341</v>
      </c>
      <c r="BM142" s="8" t="s">
        <v>351</v>
      </c>
      <c r="BQ142" s="101"/>
    </row>
    <row r="143" spans="2:70" s="16" customFormat="1" ht="6.9" customHeight="1">
      <c r="B143" s="42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4"/>
      <c r="BQ143" s="101"/>
    </row>
    <row r="144" spans="2:70">
      <c r="BQ144" s="77"/>
    </row>
    <row r="145" spans="69:69">
      <c r="BQ145" s="77"/>
    </row>
    <row r="146" spans="69:69">
      <c r="BQ146" s="16"/>
    </row>
    <row r="147" spans="69:69">
      <c r="BQ147" s="77"/>
    </row>
    <row r="148" spans="69:69">
      <c r="BQ148" s="16"/>
    </row>
    <row r="149" spans="69:69">
      <c r="BQ149" s="77"/>
    </row>
    <row r="150" spans="69:69">
      <c r="BQ150" s="16"/>
    </row>
    <row r="151" spans="69:69">
      <c r="BQ151" s="77"/>
    </row>
    <row r="152" spans="69:69">
      <c r="BQ152" s="16"/>
    </row>
    <row r="153" spans="69:69">
      <c r="BQ153" s="101"/>
    </row>
  </sheetData>
  <sheetProtection algorithmName="SHA-512" hashValue="6GNScVHXx/Ok7FdoB2X0ZKnpq+CpheSxMdDkrehAZ9l9Nn4fwHeXZNNXMZolkVmmf/AwbxpPN253mxb/CGIanw==" saltValue="LmvHVEOcNBKOnZxpZXNAQw==" spinCount="100000" sheet="1" objects="1" scenarios="1" selectLockedCells="1"/>
  <mergeCells count="128">
    <mergeCell ref="L117:M117"/>
    <mergeCell ref="N117:Q117"/>
    <mergeCell ref="N141:Q141"/>
    <mergeCell ref="F142:I142"/>
    <mergeCell ref="L142:M142"/>
    <mergeCell ref="N142:Q142"/>
    <mergeCell ref="F136:I136"/>
    <mergeCell ref="L136:M136"/>
    <mergeCell ref="N136:Q136"/>
    <mergeCell ref="N137:Q137"/>
    <mergeCell ref="F138:I138"/>
    <mergeCell ref="L138:M138"/>
    <mergeCell ref="N138:Q138"/>
    <mergeCell ref="N139:Q139"/>
    <mergeCell ref="F140:I140"/>
    <mergeCell ref="L140:M140"/>
    <mergeCell ref="N140:Q140"/>
    <mergeCell ref="N133:Q133"/>
    <mergeCell ref="N134:Q134"/>
    <mergeCell ref="N135:Q135"/>
    <mergeCell ref="F126:I126"/>
    <mergeCell ref="L126:M126"/>
    <mergeCell ref="N126:Q126"/>
    <mergeCell ref="F127:I127"/>
    <mergeCell ref="L127:M127"/>
    <mergeCell ref="N127:Q127"/>
    <mergeCell ref="F128:I128"/>
    <mergeCell ref="L128:M128"/>
    <mergeCell ref="N128:Q128"/>
    <mergeCell ref="F132:I132"/>
    <mergeCell ref="L132:M132"/>
    <mergeCell ref="N132:Q132"/>
    <mergeCell ref="F129:I129"/>
    <mergeCell ref="L129:M129"/>
    <mergeCell ref="N129:Q129"/>
    <mergeCell ref="F130:I130"/>
    <mergeCell ref="L130:M130"/>
    <mergeCell ref="N130:Q130"/>
    <mergeCell ref="F131:I131"/>
    <mergeCell ref="L131:M131"/>
    <mergeCell ref="N131:Q131"/>
    <mergeCell ref="N123:Q123"/>
    <mergeCell ref="F124:I124"/>
    <mergeCell ref="L124:M124"/>
    <mergeCell ref="N124:Q124"/>
    <mergeCell ref="F125:I125"/>
    <mergeCell ref="L125:M125"/>
    <mergeCell ref="N125:Q125"/>
    <mergeCell ref="F116:I116"/>
    <mergeCell ref="L116:M116"/>
    <mergeCell ref="N116:Q116"/>
    <mergeCell ref="F120:I120"/>
    <mergeCell ref="L120:M120"/>
    <mergeCell ref="N120:Q120"/>
    <mergeCell ref="F118:I118"/>
    <mergeCell ref="L118:M118"/>
    <mergeCell ref="N118:Q118"/>
    <mergeCell ref="F121:I121"/>
    <mergeCell ref="L121:M121"/>
    <mergeCell ref="N121:Q121"/>
    <mergeCell ref="F119:I119"/>
    <mergeCell ref="L119:M119"/>
    <mergeCell ref="N119:Q119"/>
    <mergeCell ref="F122:M122"/>
    <mergeCell ref="F117:I117"/>
    <mergeCell ref="F115:I115"/>
    <mergeCell ref="L115:M115"/>
    <mergeCell ref="N115:Q115"/>
    <mergeCell ref="F114:I114"/>
    <mergeCell ref="L114:M114"/>
    <mergeCell ref="N114:Q114"/>
    <mergeCell ref="F110:I110"/>
    <mergeCell ref="L110:M110"/>
    <mergeCell ref="N110:Q110"/>
    <mergeCell ref="N111:Q111"/>
    <mergeCell ref="N112:Q112"/>
    <mergeCell ref="N113:Q113"/>
    <mergeCell ref="M105:P105"/>
    <mergeCell ref="M107:Q107"/>
    <mergeCell ref="M108:Q108"/>
    <mergeCell ref="N87:Q87"/>
    <mergeCell ref="N88:Q88"/>
    <mergeCell ref="N89:Q89"/>
    <mergeCell ref="N90:Q90"/>
    <mergeCell ref="N91:Q91"/>
    <mergeCell ref="L94:Q94"/>
    <mergeCell ref="C85:G85"/>
    <mergeCell ref="N85:Q85"/>
    <mergeCell ref="H35:J35"/>
    <mergeCell ref="M35:P35"/>
    <mergeCell ref="L37:P37"/>
    <mergeCell ref="C75:Q75"/>
    <mergeCell ref="C100:Q100"/>
    <mergeCell ref="F102:P102"/>
    <mergeCell ref="F103:P103"/>
    <mergeCell ref="M33:P33"/>
    <mergeCell ref="O21:P21"/>
    <mergeCell ref="E24:L24"/>
    <mergeCell ref="M27:P27"/>
    <mergeCell ref="F77:P77"/>
    <mergeCell ref="F78:P78"/>
    <mergeCell ref="M80:P80"/>
    <mergeCell ref="M82:Q82"/>
    <mergeCell ref="M83:Q83"/>
    <mergeCell ref="O11:P11"/>
    <mergeCell ref="O12:P12"/>
    <mergeCell ref="E15:L15"/>
    <mergeCell ref="E21:L21"/>
    <mergeCell ref="H34:J34"/>
    <mergeCell ref="M34:P34"/>
    <mergeCell ref="H1:K1"/>
    <mergeCell ref="C2:Q2"/>
    <mergeCell ref="S2:AC2"/>
    <mergeCell ref="C4:Q4"/>
    <mergeCell ref="F6:P6"/>
    <mergeCell ref="F7:P7"/>
    <mergeCell ref="O17:P17"/>
    <mergeCell ref="O18:P18"/>
    <mergeCell ref="O20:P20"/>
    <mergeCell ref="O14:R14"/>
    <mergeCell ref="O15:R15"/>
    <mergeCell ref="O9:R9"/>
    <mergeCell ref="M29:P29"/>
    <mergeCell ref="H31:J31"/>
    <mergeCell ref="M31:P31"/>
    <mergeCell ref="H32:J32"/>
    <mergeCell ref="M32:P32"/>
    <mergeCell ref="H33:J33"/>
  </mergeCells>
  <phoneticPr fontId="0" type="noConversion"/>
  <dataValidations disablePrompts="1" count="2">
    <dataValidation type="list" allowBlank="1" showInputMessage="1" showErrorMessage="1" error="Povoleny jsou hodnoty K, M." sqref="D143" xr:uid="{B6ECBC09-742B-42CC-BD08-095AB586E44A}">
      <formula1>"K, M"</formula1>
    </dataValidation>
    <dataValidation type="list" allowBlank="1" showInputMessage="1" showErrorMessage="1" error="Povoleny jsou hodnoty základní, snížená, zákl. přenesená, sníž. přenesená, nulová." sqref="U143" xr:uid="{A7D3B56F-B7E2-4102-A904-2AE2D839370D}">
      <formula1>"základní, snížená, zákl. přenesená, sníž. přenesená, nulová"</formula1>
    </dataValidation>
  </dataValidations>
  <hyperlinks>
    <hyperlink ref="F1:G1" location="C2" display="1) Krycí list rozpočtu" xr:uid="{F3314A1E-44E4-4F53-A275-497B4FA14C68}"/>
    <hyperlink ref="H1:K1" location="C86" display="2) Rekapitulace rozpočtu" xr:uid="{42F074DA-B220-4861-A26A-B61BE8CE05BB}"/>
    <hyperlink ref="L1" location="C133" display="3) Rozpočet" xr:uid="{FE19B2CB-2B3A-4F6F-A6DA-BDAC670235A4}"/>
    <hyperlink ref="S1:T1" location="'Rekapitulace stavby'!C2" display="Rekapitulace stavby" xr:uid="{7D96C6A6-C68D-43E4-9994-556B123DCB31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10</vt:i4>
      </vt:variant>
    </vt:vector>
  </HeadingPairs>
  <TitlesOfParts>
    <vt:vector size="15" baseType="lpstr">
      <vt:lpstr>Rekapitulace stavby</vt:lpstr>
      <vt:lpstr>obj. A - plášť</vt:lpstr>
      <vt:lpstr>obj. B - střecha</vt:lpstr>
      <vt:lpstr>obj. C -VZT </vt:lpstr>
      <vt:lpstr>obj. D - stínění</vt:lpstr>
      <vt:lpstr>'obj. A - plášť'!Názvy_tisku</vt:lpstr>
      <vt:lpstr>'obj. B - střecha'!Názvy_tisku</vt:lpstr>
      <vt:lpstr>'obj. C -VZT '!Názvy_tisku</vt:lpstr>
      <vt:lpstr>'obj. D - stínění'!Názvy_tisku</vt:lpstr>
      <vt:lpstr>'Rekapitulace stavby'!Názvy_tisku</vt:lpstr>
      <vt:lpstr>'obj. A - plášť'!Oblast_tisku</vt:lpstr>
      <vt:lpstr>'obj. B - střecha'!Oblast_tisku</vt:lpstr>
      <vt:lpstr>'obj. C -VZT '!Oblast_tisku</vt:lpstr>
      <vt:lpstr>'obj. D - stínění'!Oblast_tisku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pc-PC\pc</dc:creator>
  <cp:lastModifiedBy>Mgr. Nikola  Sýkorová</cp:lastModifiedBy>
  <cp:lastPrinted>2021-02-22T09:59:30Z</cp:lastPrinted>
  <dcterms:created xsi:type="dcterms:W3CDTF">2019-04-15T08:49:59Z</dcterms:created>
  <dcterms:modified xsi:type="dcterms:W3CDTF">2025-04-08T09:24:29Z</dcterms:modified>
</cp:coreProperties>
</file>