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k\Documents\"/>
    </mc:Choice>
  </mc:AlternateContent>
  <xr:revisionPtr revIDLastSave="0" documentId="13_ncr:1_{A05C4FD1-60FC-41BB-B9BF-810F82C55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  <sheet name="ZTI" sheetId="13" r:id="rId4"/>
    <sheet name="ÚT" sheetId="14" r:id="rId5"/>
    <sheet name="Elektroinstalace" sheetId="15" r:id="rId6"/>
  </sheets>
  <externalReferences>
    <externalReference r:id="rId7"/>
  </externalReferences>
  <definedNames>
    <definedName name="_Toc400728082" localSheetId="5">Elektroinstalace!#REF!</definedName>
    <definedName name="_Toc400728083" localSheetId="5">Elektroinstalace!#REF!</definedName>
    <definedName name="_Toc431412196" localSheetId="5">Elektroinstalace!#REF!</definedName>
    <definedName name="_Toc431412197" localSheetId="5">Elektroinstalace!#REF!</definedName>
    <definedName name="_Toc431412199" localSheetId="5">Elektroinstalace!#REF!</definedName>
    <definedName name="_Toc431412200" localSheetId="5">Elektroinstalace!#REF!</definedName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Excel_BuiltIn_Print_Area" localSheetId="5">(Elektroinstalace!$B$1:$J$51,Elektroinstalace!$B$53:$J$149)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5">Elektroinstalace!$74:$74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Pol'!$A$1:$Y$770</definedName>
    <definedName name="_xlnm.Print_Area" localSheetId="5">Elektroinstalace!$B$1:$J$51,Elektroinstalace!$B$53:$J$145</definedName>
    <definedName name="_xlnm.Print_Area" localSheetId="0">Stavba!$A$1:$J$73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" i="15" l="1"/>
  <c r="J144" i="15"/>
  <c r="J143" i="15"/>
  <c r="J142" i="15"/>
  <c r="J141" i="15"/>
  <c r="J140" i="15"/>
  <c r="BA139" i="15"/>
  <c r="P139" i="15"/>
  <c r="N139" i="15"/>
  <c r="J138" i="15"/>
  <c r="J137" i="15"/>
  <c r="J136" i="15"/>
  <c r="BA134" i="15"/>
  <c r="P134" i="15"/>
  <c r="N134" i="15"/>
  <c r="J133" i="15"/>
  <c r="J132" i="15"/>
  <c r="J131" i="15"/>
  <c r="BA129" i="15"/>
  <c r="P129" i="15"/>
  <c r="N129" i="15"/>
  <c r="J129" i="15"/>
  <c r="J45" i="15" s="1"/>
  <c r="J128" i="15"/>
  <c r="J127" i="15"/>
  <c r="J126" i="15"/>
  <c r="J124" i="15" s="1"/>
  <c r="BA124" i="15"/>
  <c r="P124" i="15"/>
  <c r="N124" i="15"/>
  <c r="J123" i="15"/>
  <c r="J122" i="15"/>
  <c r="J121" i="15"/>
  <c r="J120" i="15"/>
  <c r="J119" i="15"/>
  <c r="L118" i="15"/>
  <c r="J118" i="15"/>
  <c r="J117" i="15" s="1"/>
  <c r="BA117" i="15"/>
  <c r="P117" i="15"/>
  <c r="N117" i="15"/>
  <c r="J116" i="15"/>
  <c r="J115" i="15"/>
  <c r="J114" i="15"/>
  <c r="J113" i="15"/>
  <c r="J112" i="15"/>
  <c r="L111" i="15"/>
  <c r="J111" i="15"/>
  <c r="J110" i="15" s="1"/>
  <c r="BA110" i="15"/>
  <c r="P110" i="15"/>
  <c r="N110" i="15"/>
  <c r="J109" i="15"/>
  <c r="J108" i="15"/>
  <c r="J107" i="15"/>
  <c r="J106" i="15"/>
  <c r="J105" i="15"/>
  <c r="L104" i="15"/>
  <c r="J104" i="15"/>
  <c r="BA103" i="15"/>
  <c r="P103" i="15"/>
  <c r="N103" i="15"/>
  <c r="J102" i="15"/>
  <c r="J101" i="15"/>
  <c r="J100" i="15"/>
  <c r="J98" i="15"/>
  <c r="J97" i="15"/>
  <c r="J96" i="15"/>
  <c r="J94" i="15"/>
  <c r="J93" i="15"/>
  <c r="J92" i="15"/>
  <c r="J90" i="15" s="1"/>
  <c r="BA90" i="15"/>
  <c r="P90" i="15"/>
  <c r="N90" i="15"/>
  <c r="J89" i="15"/>
  <c r="J88" i="15"/>
  <c r="J87" i="15"/>
  <c r="J86" i="15"/>
  <c r="K86" i="15" s="1"/>
  <c r="BA85" i="15"/>
  <c r="P85" i="15"/>
  <c r="N85" i="15"/>
  <c r="J84" i="15"/>
  <c r="J83" i="15"/>
  <c r="J82" i="15"/>
  <c r="J81" i="15"/>
  <c r="J80" i="15" s="1"/>
  <c r="BA80" i="15"/>
  <c r="P80" i="15"/>
  <c r="N80" i="15"/>
  <c r="J79" i="15"/>
  <c r="J78" i="15"/>
  <c r="J77" i="15"/>
  <c r="J76" i="15"/>
  <c r="J75" i="15" s="1"/>
  <c r="BA75" i="15"/>
  <c r="P75" i="15"/>
  <c r="N75" i="15"/>
  <c r="BA72" i="15"/>
  <c r="P72" i="15"/>
  <c r="N72" i="15"/>
  <c r="E57" i="15"/>
  <c r="E56" i="15"/>
  <c r="C47" i="15"/>
  <c r="C46" i="15"/>
  <c r="C45" i="15"/>
  <c r="C44" i="15"/>
  <c r="C43" i="15"/>
  <c r="C42" i="15"/>
  <c r="C41" i="15"/>
  <c r="C40" i="15"/>
  <c r="C39" i="15"/>
  <c r="C38" i="15"/>
  <c r="C37" i="15"/>
  <c r="E32" i="15"/>
  <c r="E61" i="15" s="1"/>
  <c r="E31" i="15"/>
  <c r="E60" i="15" s="1"/>
  <c r="E30" i="15"/>
  <c r="E59" i="15" s="1"/>
  <c r="E29" i="15"/>
  <c r="E58" i="15" s="1"/>
  <c r="G12" i="14"/>
  <c r="G11" i="14"/>
  <c r="G10" i="14"/>
  <c r="G9" i="14"/>
  <c r="G8" i="14"/>
  <c r="G7" i="14"/>
  <c r="G6" i="14"/>
  <c r="G5" i="14"/>
  <c r="G4" i="14"/>
  <c r="G3" i="14"/>
  <c r="BJ223" i="13"/>
  <c r="BD223" i="13"/>
  <c r="AX223" i="13"/>
  <c r="AP223" i="13"/>
  <c r="BI223" i="13" s="1"/>
  <c r="AO223" i="13"/>
  <c r="AK223" i="13"/>
  <c r="AJ223" i="13"/>
  <c r="AH223" i="13"/>
  <c r="AG223" i="13"/>
  <c r="AF223" i="13"/>
  <c r="AE223" i="13"/>
  <c r="AD223" i="13"/>
  <c r="AC223" i="13"/>
  <c r="AB223" i="13"/>
  <c r="Z223" i="13"/>
  <c r="M223" i="13"/>
  <c r="BF223" i="13" s="1"/>
  <c r="K223" i="13"/>
  <c r="AL223" i="13" s="1"/>
  <c r="J223" i="13"/>
  <c r="BJ221" i="13"/>
  <c r="Z221" i="13" s="1"/>
  <c r="BD221" i="13"/>
  <c r="AP221" i="13"/>
  <c r="BI221" i="13" s="1"/>
  <c r="AO221" i="13"/>
  <c r="BH221" i="13" s="1"/>
  <c r="AK221" i="13"/>
  <c r="AJ221" i="13"/>
  <c r="AH221" i="13"/>
  <c r="AG221" i="13"/>
  <c r="AF221" i="13"/>
  <c r="AE221" i="13"/>
  <c r="AD221" i="13"/>
  <c r="AC221" i="13"/>
  <c r="AB221" i="13"/>
  <c r="M221" i="13"/>
  <c r="BF221" i="13" s="1"/>
  <c r="K221" i="13"/>
  <c r="AL221" i="13" s="1"/>
  <c r="I221" i="13"/>
  <c r="BJ219" i="13"/>
  <c r="BI219" i="13"/>
  <c r="BD219" i="13"/>
  <c r="AX219" i="13"/>
  <c r="AP219" i="13"/>
  <c r="J219" i="13" s="1"/>
  <c r="AO219" i="13"/>
  <c r="AW219" i="13" s="1"/>
  <c r="BC219" i="13" s="1"/>
  <c r="AK219" i="13"/>
  <c r="AJ219" i="13"/>
  <c r="AH219" i="13"/>
  <c r="AG219" i="13"/>
  <c r="AF219" i="13"/>
  <c r="AE219" i="13"/>
  <c r="AD219" i="13"/>
  <c r="AC219" i="13"/>
  <c r="AB219" i="13"/>
  <c r="Z219" i="13"/>
  <c r="M219" i="13"/>
  <c r="BF219" i="13" s="1"/>
  <c r="K219" i="13"/>
  <c r="AL219" i="13" s="1"/>
  <c r="I219" i="13"/>
  <c r="BJ217" i="13"/>
  <c r="Z217" i="13" s="1"/>
  <c r="BF217" i="13"/>
  <c r="BD217" i="13"/>
  <c r="AP217" i="13"/>
  <c r="BI217" i="13" s="1"/>
  <c r="AO217" i="13"/>
  <c r="BH217" i="13" s="1"/>
  <c r="AL217" i="13"/>
  <c r="AK217" i="13"/>
  <c r="AJ217" i="13"/>
  <c r="AH217" i="13"/>
  <c r="AG217" i="13"/>
  <c r="AF217" i="13"/>
  <c r="AE217" i="13"/>
  <c r="AD217" i="13"/>
  <c r="AC217" i="13"/>
  <c r="AB217" i="13"/>
  <c r="M217" i="13"/>
  <c r="K217" i="13"/>
  <c r="I217" i="13"/>
  <c r="BJ215" i="13"/>
  <c r="Z215" i="13" s="1"/>
  <c r="BD215" i="13"/>
  <c r="AP215" i="13"/>
  <c r="AO215" i="13"/>
  <c r="AW215" i="13" s="1"/>
  <c r="AK215" i="13"/>
  <c r="AJ215" i="13"/>
  <c r="AH215" i="13"/>
  <c r="AG215" i="13"/>
  <c r="AF215" i="13"/>
  <c r="AE215" i="13"/>
  <c r="AD215" i="13"/>
  <c r="AC215" i="13"/>
  <c r="AB215" i="13"/>
  <c r="M215" i="13"/>
  <c r="BF215" i="13" s="1"/>
  <c r="K215" i="13"/>
  <c r="AL215" i="13" s="1"/>
  <c r="BJ213" i="13"/>
  <c r="Z213" i="13" s="1"/>
  <c r="BF213" i="13"/>
  <c r="BD213" i="13"/>
  <c r="AW213" i="13"/>
  <c r="AP213" i="13"/>
  <c r="BI213" i="13" s="1"/>
  <c r="AO213" i="13"/>
  <c r="BH213" i="13" s="1"/>
  <c r="AK213" i="13"/>
  <c r="AJ213" i="13"/>
  <c r="AH213" i="13"/>
  <c r="AG213" i="13"/>
  <c r="AF213" i="13"/>
  <c r="AE213" i="13"/>
  <c r="AD213" i="13"/>
  <c r="AC213" i="13"/>
  <c r="AB213" i="13"/>
  <c r="M213" i="13"/>
  <c r="K213" i="13"/>
  <c r="AL213" i="13" s="1"/>
  <c r="J213" i="13"/>
  <c r="BJ211" i="13"/>
  <c r="Z211" i="13" s="1"/>
  <c r="BH211" i="13"/>
  <c r="BD211" i="13"/>
  <c r="AP211" i="13"/>
  <c r="J211" i="13" s="1"/>
  <c r="AO211" i="13"/>
  <c r="AW211" i="13" s="1"/>
  <c r="AK211" i="13"/>
  <c r="AJ211" i="13"/>
  <c r="AH211" i="13"/>
  <c r="AG211" i="13"/>
  <c r="AF211" i="13"/>
  <c r="AE211" i="13"/>
  <c r="AD211" i="13"/>
  <c r="AC211" i="13"/>
  <c r="AB211" i="13"/>
  <c r="M211" i="13"/>
  <c r="K211" i="13"/>
  <c r="AL211" i="13" s="1"/>
  <c r="I211" i="13"/>
  <c r="BJ209" i="13"/>
  <c r="Z209" i="13" s="1"/>
  <c r="BF209" i="13"/>
  <c r="BD209" i="13"/>
  <c r="AW209" i="13"/>
  <c r="AP209" i="13"/>
  <c r="BI209" i="13" s="1"/>
  <c r="AO209" i="13"/>
  <c r="BH209" i="13" s="1"/>
  <c r="AK209" i="13"/>
  <c r="AT208" i="13" s="1"/>
  <c r="AJ209" i="13"/>
  <c r="AH209" i="13"/>
  <c r="AG209" i="13"/>
  <c r="AF209" i="13"/>
  <c r="AE209" i="13"/>
  <c r="AD209" i="13"/>
  <c r="AC209" i="13"/>
  <c r="AB209" i="13"/>
  <c r="M209" i="13"/>
  <c r="K209" i="13"/>
  <c r="AL209" i="13" s="1"/>
  <c r="I209" i="13"/>
  <c r="BJ206" i="13"/>
  <c r="BD206" i="13"/>
  <c r="AP206" i="13"/>
  <c r="BI206" i="13" s="1"/>
  <c r="AE206" i="13" s="1"/>
  <c r="AO206" i="13"/>
  <c r="I206" i="13" s="1"/>
  <c r="AK206" i="13"/>
  <c r="AJ206" i="13"/>
  <c r="AH206" i="13"/>
  <c r="AG206" i="13"/>
  <c r="AF206" i="13"/>
  <c r="AC206" i="13"/>
  <c r="AB206" i="13"/>
  <c r="Z206" i="13"/>
  <c r="M206" i="13"/>
  <c r="BF206" i="13" s="1"/>
  <c r="K206" i="13"/>
  <c r="AL206" i="13" s="1"/>
  <c r="J206" i="13"/>
  <c r="BJ204" i="13"/>
  <c r="BD204" i="13"/>
  <c r="AP204" i="13"/>
  <c r="BI204" i="13" s="1"/>
  <c r="AE204" i="13" s="1"/>
  <c r="AO204" i="13"/>
  <c r="BH204" i="13" s="1"/>
  <c r="AD204" i="13" s="1"/>
  <c r="AK204" i="13"/>
  <c r="AJ204" i="13"/>
  <c r="AH204" i="13"/>
  <c r="AG204" i="13"/>
  <c r="AF204" i="13"/>
  <c r="AC204" i="13"/>
  <c r="AB204" i="13"/>
  <c r="Z204" i="13"/>
  <c r="M204" i="13"/>
  <c r="BF204" i="13" s="1"/>
  <c r="K204" i="13"/>
  <c r="AL204" i="13" s="1"/>
  <c r="I204" i="13"/>
  <c r="BJ202" i="13"/>
  <c r="BD202" i="13"/>
  <c r="AX202" i="13"/>
  <c r="AP202" i="13"/>
  <c r="BI202" i="13" s="1"/>
  <c r="AE202" i="13" s="1"/>
  <c r="AO202" i="13"/>
  <c r="I202" i="13" s="1"/>
  <c r="AK202" i="13"/>
  <c r="AJ202" i="13"/>
  <c r="AH202" i="13"/>
  <c r="AG202" i="13"/>
  <c r="AF202" i="13"/>
  <c r="AC202" i="13"/>
  <c r="AB202" i="13"/>
  <c r="Z202" i="13"/>
  <c r="M202" i="13"/>
  <c r="BF202" i="13" s="1"/>
  <c r="K202" i="13"/>
  <c r="AL202" i="13" s="1"/>
  <c r="J202" i="13"/>
  <c r="BJ200" i="13"/>
  <c r="BD200" i="13"/>
  <c r="AP200" i="13"/>
  <c r="AX200" i="13" s="1"/>
  <c r="AO200" i="13"/>
  <c r="BH200" i="13" s="1"/>
  <c r="AD200" i="13" s="1"/>
  <c r="AK200" i="13"/>
  <c r="AJ200" i="13"/>
  <c r="AH200" i="13"/>
  <c r="AG200" i="13"/>
  <c r="AF200" i="13"/>
  <c r="AC200" i="13"/>
  <c r="AB200" i="13"/>
  <c r="Z200" i="13"/>
  <c r="M200" i="13"/>
  <c r="BF200" i="13" s="1"/>
  <c r="K200" i="13"/>
  <c r="AL200" i="13" s="1"/>
  <c r="I200" i="13"/>
  <c r="BJ198" i="13"/>
  <c r="BD198" i="13"/>
  <c r="AP198" i="13"/>
  <c r="BI198" i="13" s="1"/>
  <c r="AE198" i="13" s="1"/>
  <c r="AO198" i="13"/>
  <c r="I198" i="13" s="1"/>
  <c r="AK198" i="13"/>
  <c r="AJ198" i="13"/>
  <c r="AH198" i="13"/>
  <c r="AG198" i="13"/>
  <c r="AF198" i="13"/>
  <c r="AC198" i="13"/>
  <c r="AB198" i="13"/>
  <c r="Z198" i="13"/>
  <c r="M198" i="13"/>
  <c r="BF198" i="13" s="1"/>
  <c r="K198" i="13"/>
  <c r="AL198" i="13" s="1"/>
  <c r="J198" i="13"/>
  <c r="BJ196" i="13"/>
  <c r="BD196" i="13"/>
  <c r="AP196" i="13"/>
  <c r="AX196" i="13" s="1"/>
  <c r="AO196" i="13"/>
  <c r="BH196" i="13" s="1"/>
  <c r="AD196" i="13" s="1"/>
  <c r="AK196" i="13"/>
  <c r="AJ196" i="13"/>
  <c r="AH196" i="13"/>
  <c r="AG196" i="13"/>
  <c r="AF196" i="13"/>
  <c r="AC196" i="13"/>
  <c r="AB196" i="13"/>
  <c r="Z196" i="13"/>
  <c r="M196" i="13"/>
  <c r="BF196" i="13" s="1"/>
  <c r="K196" i="13"/>
  <c r="AL196" i="13" s="1"/>
  <c r="BJ194" i="13"/>
  <c r="BD194" i="13"/>
  <c r="AP194" i="13"/>
  <c r="BI194" i="13" s="1"/>
  <c r="AE194" i="13" s="1"/>
  <c r="AO194" i="13"/>
  <c r="AK194" i="13"/>
  <c r="AJ194" i="13"/>
  <c r="AH194" i="13"/>
  <c r="AG194" i="13"/>
  <c r="AF194" i="13"/>
  <c r="AC194" i="13"/>
  <c r="AB194" i="13"/>
  <c r="Z194" i="13"/>
  <c r="M194" i="13"/>
  <c r="BF194" i="13" s="1"/>
  <c r="K194" i="13"/>
  <c r="AL194" i="13" s="1"/>
  <c r="J194" i="13"/>
  <c r="BJ192" i="13"/>
  <c r="BD192" i="13"/>
  <c r="AP192" i="13"/>
  <c r="AX192" i="13" s="1"/>
  <c r="AO192" i="13"/>
  <c r="BH192" i="13" s="1"/>
  <c r="AD192" i="13" s="1"/>
  <c r="AK192" i="13"/>
  <c r="AJ192" i="13"/>
  <c r="AH192" i="13"/>
  <c r="AG192" i="13"/>
  <c r="AF192" i="13"/>
  <c r="AC192" i="13"/>
  <c r="AB192" i="13"/>
  <c r="Z192" i="13"/>
  <c r="M192" i="13"/>
  <c r="BF192" i="13" s="1"/>
  <c r="K192" i="13"/>
  <c r="AL192" i="13" s="1"/>
  <c r="J192" i="13"/>
  <c r="I192" i="13"/>
  <c r="BJ190" i="13"/>
  <c r="BD190" i="13"/>
  <c r="AP190" i="13"/>
  <c r="BI190" i="13" s="1"/>
  <c r="AE190" i="13" s="1"/>
  <c r="AO190" i="13"/>
  <c r="I190" i="13" s="1"/>
  <c r="AK190" i="13"/>
  <c r="AJ190" i="13"/>
  <c r="AH190" i="13"/>
  <c r="AG190" i="13"/>
  <c r="AF190" i="13"/>
  <c r="AC190" i="13"/>
  <c r="AB190" i="13"/>
  <c r="Z190" i="13"/>
  <c r="M190" i="13"/>
  <c r="BF190" i="13" s="1"/>
  <c r="K190" i="13"/>
  <c r="AL190" i="13" s="1"/>
  <c r="J190" i="13"/>
  <c r="BJ189" i="13"/>
  <c r="Z189" i="13" s="1"/>
  <c r="BD189" i="13"/>
  <c r="AP189" i="13"/>
  <c r="BI189" i="13" s="1"/>
  <c r="AO189" i="13"/>
  <c r="BH189" i="13" s="1"/>
  <c r="AK189" i="13"/>
  <c r="AJ189" i="13"/>
  <c r="AH189" i="13"/>
  <c r="AG189" i="13"/>
  <c r="AF189" i="13"/>
  <c r="AE189" i="13"/>
  <c r="AD189" i="13"/>
  <c r="AC189" i="13"/>
  <c r="AB189" i="13"/>
  <c r="M189" i="13"/>
  <c r="BF189" i="13" s="1"/>
  <c r="K189" i="13"/>
  <c r="AL189" i="13" s="1"/>
  <c r="BJ187" i="13"/>
  <c r="BD187" i="13"/>
  <c r="AP187" i="13"/>
  <c r="BI187" i="13" s="1"/>
  <c r="AE187" i="13" s="1"/>
  <c r="AO187" i="13"/>
  <c r="I187" i="13" s="1"/>
  <c r="AK187" i="13"/>
  <c r="AJ187" i="13"/>
  <c r="AH187" i="13"/>
  <c r="AG187" i="13"/>
  <c r="AF187" i="13"/>
  <c r="AC187" i="13"/>
  <c r="AB187" i="13"/>
  <c r="Z187" i="13"/>
  <c r="M187" i="13"/>
  <c r="BF187" i="13" s="1"/>
  <c r="K187" i="13"/>
  <c r="AL187" i="13" s="1"/>
  <c r="J187" i="13"/>
  <c r="BJ185" i="13"/>
  <c r="BD185" i="13"/>
  <c r="AP185" i="13"/>
  <c r="AX185" i="13" s="1"/>
  <c r="AO185" i="13"/>
  <c r="BH185" i="13" s="1"/>
  <c r="AD185" i="13" s="1"/>
  <c r="AK185" i="13"/>
  <c r="AJ185" i="13"/>
  <c r="AH185" i="13"/>
  <c r="AG185" i="13"/>
  <c r="AF185" i="13"/>
  <c r="AC185" i="13"/>
  <c r="AB185" i="13"/>
  <c r="Z185" i="13"/>
  <c r="M185" i="13"/>
  <c r="BF185" i="13" s="1"/>
  <c r="K185" i="13"/>
  <c r="AL185" i="13" s="1"/>
  <c r="BJ183" i="13"/>
  <c r="BD183" i="13"/>
  <c r="AP183" i="13"/>
  <c r="BI183" i="13" s="1"/>
  <c r="AE183" i="13" s="1"/>
  <c r="AO183" i="13"/>
  <c r="AK183" i="13"/>
  <c r="AJ183" i="13"/>
  <c r="AH183" i="13"/>
  <c r="AG183" i="13"/>
  <c r="AF183" i="13"/>
  <c r="AC183" i="13"/>
  <c r="AB183" i="13"/>
  <c r="Z183" i="13"/>
  <c r="M183" i="13"/>
  <c r="BF183" i="13" s="1"/>
  <c r="K183" i="13"/>
  <c r="AL183" i="13" s="1"/>
  <c r="J183" i="13"/>
  <c r="BJ181" i="13"/>
  <c r="BD181" i="13"/>
  <c r="AP181" i="13"/>
  <c r="AX181" i="13" s="1"/>
  <c r="AO181" i="13"/>
  <c r="BH181" i="13" s="1"/>
  <c r="AD181" i="13" s="1"/>
  <c r="AK181" i="13"/>
  <c r="AJ181" i="13"/>
  <c r="AH181" i="13"/>
  <c r="AG181" i="13"/>
  <c r="AF181" i="13"/>
  <c r="AC181" i="13"/>
  <c r="AB181" i="13"/>
  <c r="Z181" i="13"/>
  <c r="M181" i="13"/>
  <c r="BF181" i="13" s="1"/>
  <c r="K181" i="13"/>
  <c r="AL181" i="13" s="1"/>
  <c r="J181" i="13"/>
  <c r="I181" i="13"/>
  <c r="BJ179" i="13"/>
  <c r="BF179" i="13"/>
  <c r="BD179" i="13"/>
  <c r="AP179" i="13"/>
  <c r="BI179" i="13" s="1"/>
  <c r="AE179" i="13" s="1"/>
  <c r="AO179" i="13"/>
  <c r="I179" i="13" s="1"/>
  <c r="AK179" i="13"/>
  <c r="AJ179" i="13"/>
  <c r="AH179" i="13"/>
  <c r="AG179" i="13"/>
  <c r="AF179" i="13"/>
  <c r="AC179" i="13"/>
  <c r="AB179" i="13"/>
  <c r="Z179" i="13"/>
  <c r="M179" i="13"/>
  <c r="K179" i="13"/>
  <c r="AL179" i="13" s="1"/>
  <c r="J179" i="13"/>
  <c r="BJ177" i="13"/>
  <c r="BD177" i="13"/>
  <c r="AP177" i="13"/>
  <c r="BI177" i="13" s="1"/>
  <c r="AE177" i="13" s="1"/>
  <c r="AO177" i="13"/>
  <c r="BH177" i="13" s="1"/>
  <c r="AD177" i="13" s="1"/>
  <c r="AK177" i="13"/>
  <c r="AJ177" i="13"/>
  <c r="AH177" i="13"/>
  <c r="AG177" i="13"/>
  <c r="AF177" i="13"/>
  <c r="AC177" i="13"/>
  <c r="AB177" i="13"/>
  <c r="Z177" i="13"/>
  <c r="M177" i="13"/>
  <c r="BF177" i="13" s="1"/>
  <c r="K177" i="13"/>
  <c r="AL177" i="13" s="1"/>
  <c r="BJ174" i="13"/>
  <c r="BD174" i="13"/>
  <c r="AX174" i="13"/>
  <c r="AW174" i="13"/>
  <c r="AP174" i="13"/>
  <c r="BI174" i="13" s="1"/>
  <c r="AE174" i="13" s="1"/>
  <c r="AO174" i="13"/>
  <c r="I174" i="13" s="1"/>
  <c r="AK174" i="13"/>
  <c r="AJ174" i="13"/>
  <c r="AH174" i="13"/>
  <c r="AG174" i="13"/>
  <c r="AF174" i="13"/>
  <c r="AC174" i="13"/>
  <c r="AB174" i="13"/>
  <c r="Z174" i="13"/>
  <c r="M174" i="13"/>
  <c r="BF174" i="13" s="1"/>
  <c r="K174" i="13"/>
  <c r="AL174" i="13" s="1"/>
  <c r="J174" i="13"/>
  <c r="BJ171" i="13"/>
  <c r="BD171" i="13"/>
  <c r="AP171" i="13"/>
  <c r="BI171" i="13" s="1"/>
  <c r="AE171" i="13" s="1"/>
  <c r="AO171" i="13"/>
  <c r="BH171" i="13" s="1"/>
  <c r="AD171" i="13" s="1"/>
  <c r="AK171" i="13"/>
  <c r="AJ171" i="13"/>
  <c r="AH171" i="13"/>
  <c r="AG171" i="13"/>
  <c r="AF171" i="13"/>
  <c r="AC171" i="13"/>
  <c r="AB171" i="13"/>
  <c r="Z171" i="13"/>
  <c r="M171" i="13"/>
  <c r="BF171" i="13" s="1"/>
  <c r="K171" i="13"/>
  <c r="AL171" i="13" s="1"/>
  <c r="J171" i="13"/>
  <c r="I171" i="13"/>
  <c r="BJ169" i="13"/>
  <c r="BD169" i="13"/>
  <c r="AX169" i="13"/>
  <c r="AP169" i="13"/>
  <c r="BI169" i="13" s="1"/>
  <c r="AE169" i="13" s="1"/>
  <c r="AO169" i="13"/>
  <c r="AK169" i="13"/>
  <c r="AJ169" i="13"/>
  <c r="AH169" i="13"/>
  <c r="AG169" i="13"/>
  <c r="AF169" i="13"/>
  <c r="AC169" i="13"/>
  <c r="AB169" i="13"/>
  <c r="Z169" i="13"/>
  <c r="M169" i="13"/>
  <c r="BF169" i="13" s="1"/>
  <c r="K169" i="13"/>
  <c r="AL169" i="13" s="1"/>
  <c r="J169" i="13"/>
  <c r="BJ166" i="13"/>
  <c r="BD166" i="13"/>
  <c r="AP166" i="13"/>
  <c r="BI166" i="13" s="1"/>
  <c r="AE166" i="13" s="1"/>
  <c r="AO166" i="13"/>
  <c r="BH166" i="13" s="1"/>
  <c r="AD166" i="13" s="1"/>
  <c r="AK166" i="13"/>
  <c r="AJ166" i="13"/>
  <c r="AH166" i="13"/>
  <c r="AG166" i="13"/>
  <c r="AF166" i="13"/>
  <c r="AC166" i="13"/>
  <c r="AB166" i="13"/>
  <c r="Z166" i="13"/>
  <c r="M166" i="13"/>
  <c r="BF166" i="13" s="1"/>
  <c r="K166" i="13"/>
  <c r="AL166" i="13" s="1"/>
  <c r="J166" i="13"/>
  <c r="I166" i="13"/>
  <c r="BJ164" i="13"/>
  <c r="BD164" i="13"/>
  <c r="AX164" i="13"/>
  <c r="AP164" i="13"/>
  <c r="BI164" i="13" s="1"/>
  <c r="AE164" i="13" s="1"/>
  <c r="AO164" i="13"/>
  <c r="AK164" i="13"/>
  <c r="AJ164" i="13"/>
  <c r="AH164" i="13"/>
  <c r="AG164" i="13"/>
  <c r="AF164" i="13"/>
  <c r="AC164" i="13"/>
  <c r="AB164" i="13"/>
  <c r="Z164" i="13"/>
  <c r="M164" i="13"/>
  <c r="BF164" i="13" s="1"/>
  <c r="K164" i="13"/>
  <c r="AL164" i="13" s="1"/>
  <c r="J164" i="13"/>
  <c r="M162" i="13"/>
  <c r="K162" i="13"/>
  <c r="J162" i="13"/>
  <c r="I162" i="13"/>
  <c r="BJ160" i="13"/>
  <c r="BD160" i="13"/>
  <c r="AP160" i="13"/>
  <c r="BI160" i="13" s="1"/>
  <c r="AE160" i="13" s="1"/>
  <c r="AO160" i="13"/>
  <c r="BH160" i="13" s="1"/>
  <c r="AD160" i="13" s="1"/>
  <c r="AK160" i="13"/>
  <c r="AJ160" i="13"/>
  <c r="AH160" i="13"/>
  <c r="AG160" i="13"/>
  <c r="AF160" i="13"/>
  <c r="AC160" i="13"/>
  <c r="AB160" i="13"/>
  <c r="Z160" i="13"/>
  <c r="M160" i="13"/>
  <c r="BF160" i="13" s="1"/>
  <c r="K160" i="13"/>
  <c r="AL160" i="13" s="1"/>
  <c r="J160" i="13"/>
  <c r="I160" i="13"/>
  <c r="BJ158" i="13"/>
  <c r="BD158" i="13"/>
  <c r="AX158" i="13"/>
  <c r="AP158" i="13"/>
  <c r="BI158" i="13" s="1"/>
  <c r="AE158" i="13" s="1"/>
  <c r="AO158" i="13"/>
  <c r="AK158" i="13"/>
  <c r="AJ158" i="13"/>
  <c r="AH158" i="13"/>
  <c r="AG158" i="13"/>
  <c r="AF158" i="13"/>
  <c r="AC158" i="13"/>
  <c r="AB158" i="13"/>
  <c r="Z158" i="13"/>
  <c r="M158" i="13"/>
  <c r="BF158" i="13" s="1"/>
  <c r="K158" i="13"/>
  <c r="AL158" i="13" s="1"/>
  <c r="J158" i="13"/>
  <c r="BJ155" i="13"/>
  <c r="BD155" i="13"/>
  <c r="AP155" i="13"/>
  <c r="BI155" i="13" s="1"/>
  <c r="AE155" i="13" s="1"/>
  <c r="AO155" i="13"/>
  <c r="BH155" i="13" s="1"/>
  <c r="AD155" i="13" s="1"/>
  <c r="AK155" i="13"/>
  <c r="AJ155" i="13"/>
  <c r="AH155" i="13"/>
  <c r="AG155" i="13"/>
  <c r="AF155" i="13"/>
  <c r="AC155" i="13"/>
  <c r="AB155" i="13"/>
  <c r="Z155" i="13"/>
  <c r="M155" i="13"/>
  <c r="BF155" i="13" s="1"/>
  <c r="K155" i="13"/>
  <c r="AL155" i="13" s="1"/>
  <c r="J155" i="13"/>
  <c r="I155" i="13"/>
  <c r="BJ152" i="13"/>
  <c r="BD152" i="13"/>
  <c r="AX152" i="13"/>
  <c r="AP152" i="13"/>
  <c r="BI152" i="13" s="1"/>
  <c r="AE152" i="13" s="1"/>
  <c r="AO152" i="13"/>
  <c r="AK152" i="13"/>
  <c r="AJ152" i="13"/>
  <c r="AH152" i="13"/>
  <c r="AG152" i="13"/>
  <c r="AF152" i="13"/>
  <c r="AC152" i="13"/>
  <c r="AB152" i="13"/>
  <c r="Z152" i="13"/>
  <c r="M152" i="13"/>
  <c r="BF152" i="13" s="1"/>
  <c r="K152" i="13"/>
  <c r="AL152" i="13" s="1"/>
  <c r="J152" i="13"/>
  <c r="BJ146" i="13"/>
  <c r="BD146" i="13"/>
  <c r="AX146" i="13"/>
  <c r="AP146" i="13"/>
  <c r="BI146" i="13" s="1"/>
  <c r="AE146" i="13" s="1"/>
  <c r="AO146" i="13"/>
  <c r="BH146" i="13" s="1"/>
  <c r="AD146" i="13" s="1"/>
  <c r="AK146" i="13"/>
  <c r="AJ146" i="13"/>
  <c r="AS128" i="13" s="1"/>
  <c r="AH146" i="13"/>
  <c r="AG146" i="13"/>
  <c r="AF146" i="13"/>
  <c r="AC146" i="13"/>
  <c r="AB146" i="13"/>
  <c r="Z146" i="13"/>
  <c r="M146" i="13"/>
  <c r="BF146" i="13" s="1"/>
  <c r="K146" i="13"/>
  <c r="AL146" i="13" s="1"/>
  <c r="J146" i="13"/>
  <c r="I146" i="13"/>
  <c r="BJ144" i="13"/>
  <c r="BD144" i="13"/>
  <c r="AX144" i="13"/>
  <c r="AP144" i="13"/>
  <c r="BI144" i="13" s="1"/>
  <c r="AE144" i="13" s="1"/>
  <c r="AO144" i="13"/>
  <c r="AK144" i="13"/>
  <c r="AJ144" i="13"/>
  <c r="AH144" i="13"/>
  <c r="AG144" i="13"/>
  <c r="AF144" i="13"/>
  <c r="AC144" i="13"/>
  <c r="AB144" i="13"/>
  <c r="Z144" i="13"/>
  <c r="M144" i="13"/>
  <c r="BF144" i="13" s="1"/>
  <c r="K144" i="13"/>
  <c r="AL144" i="13" s="1"/>
  <c r="J144" i="13"/>
  <c r="M142" i="13"/>
  <c r="K142" i="13"/>
  <c r="J142" i="13"/>
  <c r="I142" i="13"/>
  <c r="BJ140" i="13"/>
  <c r="BD140" i="13"/>
  <c r="AX140" i="13"/>
  <c r="AP140" i="13"/>
  <c r="BI140" i="13" s="1"/>
  <c r="AE140" i="13" s="1"/>
  <c r="AO140" i="13"/>
  <c r="BH140" i="13" s="1"/>
  <c r="AD140" i="13" s="1"/>
  <c r="AK140" i="13"/>
  <c r="AJ140" i="13"/>
  <c r="AH140" i="13"/>
  <c r="AG140" i="13"/>
  <c r="AF140" i="13"/>
  <c r="AC140" i="13"/>
  <c r="AB140" i="13"/>
  <c r="Z140" i="13"/>
  <c r="M140" i="13"/>
  <c r="BF140" i="13" s="1"/>
  <c r="K140" i="13"/>
  <c r="AL140" i="13" s="1"/>
  <c r="J140" i="13"/>
  <c r="I140" i="13"/>
  <c r="BJ138" i="13"/>
  <c r="BD138" i="13"/>
  <c r="AP138" i="13"/>
  <c r="BI138" i="13" s="1"/>
  <c r="AE138" i="13" s="1"/>
  <c r="AO138" i="13"/>
  <c r="AK138" i="13"/>
  <c r="AJ138" i="13"/>
  <c r="AH138" i="13"/>
  <c r="AG138" i="13"/>
  <c r="AF138" i="13"/>
  <c r="AC138" i="13"/>
  <c r="AB138" i="13"/>
  <c r="Z138" i="13"/>
  <c r="M138" i="13"/>
  <c r="BF138" i="13" s="1"/>
  <c r="K138" i="13"/>
  <c r="AL138" i="13" s="1"/>
  <c r="J138" i="13"/>
  <c r="BJ135" i="13"/>
  <c r="BD135" i="13"/>
  <c r="AP135" i="13"/>
  <c r="BI135" i="13" s="1"/>
  <c r="AE135" i="13" s="1"/>
  <c r="AO135" i="13"/>
  <c r="AK135" i="13"/>
  <c r="AJ135" i="13"/>
  <c r="AH135" i="13"/>
  <c r="AG135" i="13"/>
  <c r="AF135" i="13"/>
  <c r="AC135" i="13"/>
  <c r="AB135" i="13"/>
  <c r="Z135" i="13"/>
  <c r="M135" i="13"/>
  <c r="BF135" i="13" s="1"/>
  <c r="K135" i="13"/>
  <c r="AL135" i="13" s="1"/>
  <c r="J135" i="13"/>
  <c r="BJ133" i="13"/>
  <c r="BD133" i="13"/>
  <c r="AP133" i="13"/>
  <c r="BI133" i="13" s="1"/>
  <c r="AE133" i="13" s="1"/>
  <c r="AO133" i="13"/>
  <c r="BH133" i="13" s="1"/>
  <c r="AD133" i="13" s="1"/>
  <c r="AK133" i="13"/>
  <c r="AJ133" i="13"/>
  <c r="AH133" i="13"/>
  <c r="AG133" i="13"/>
  <c r="AF133" i="13"/>
  <c r="AC133" i="13"/>
  <c r="AB133" i="13"/>
  <c r="Z133" i="13"/>
  <c r="M133" i="13"/>
  <c r="K133" i="13"/>
  <c r="AL133" i="13" s="1"/>
  <c r="BJ131" i="13"/>
  <c r="BD131" i="13"/>
  <c r="AP131" i="13"/>
  <c r="BI131" i="13" s="1"/>
  <c r="AE131" i="13" s="1"/>
  <c r="AO131" i="13"/>
  <c r="BH131" i="13" s="1"/>
  <c r="AD131" i="13" s="1"/>
  <c r="AK131" i="13"/>
  <c r="AJ131" i="13"/>
  <c r="AH131" i="13"/>
  <c r="AG131" i="13"/>
  <c r="AF131" i="13"/>
  <c r="AC131" i="13"/>
  <c r="AB131" i="13"/>
  <c r="Z131" i="13"/>
  <c r="M131" i="13"/>
  <c r="BF131" i="13" s="1"/>
  <c r="K131" i="13"/>
  <c r="AL131" i="13" s="1"/>
  <c r="J131" i="13"/>
  <c r="BJ129" i="13"/>
  <c r="BD129" i="13"/>
  <c r="AP129" i="13"/>
  <c r="BI129" i="13" s="1"/>
  <c r="AE129" i="13" s="1"/>
  <c r="AO129" i="13"/>
  <c r="AK129" i="13"/>
  <c r="AT128" i="13" s="1"/>
  <c r="AJ129" i="13"/>
  <c r="AH129" i="13"/>
  <c r="AG129" i="13"/>
  <c r="AF129" i="13"/>
  <c r="AC129" i="13"/>
  <c r="AB129" i="13"/>
  <c r="Z129" i="13"/>
  <c r="M129" i="13"/>
  <c r="BF129" i="13" s="1"/>
  <c r="K129" i="13"/>
  <c r="AL129" i="13" s="1"/>
  <c r="J129" i="13"/>
  <c r="K128" i="13"/>
  <c r="BJ127" i="13"/>
  <c r="Z127" i="13" s="1"/>
  <c r="BF127" i="13"/>
  <c r="BD127" i="13"/>
  <c r="AW127" i="13"/>
  <c r="AP127" i="13"/>
  <c r="BI127" i="13" s="1"/>
  <c r="AO127" i="13"/>
  <c r="BH127" i="13" s="1"/>
  <c r="AL127" i="13"/>
  <c r="AK127" i="13"/>
  <c r="AJ127" i="13"/>
  <c r="AH127" i="13"/>
  <c r="AG127" i="13"/>
  <c r="AF127" i="13"/>
  <c r="AE127" i="13"/>
  <c r="AD127" i="13"/>
  <c r="AC127" i="13"/>
  <c r="AB127" i="13"/>
  <c r="M127" i="13"/>
  <c r="K127" i="13"/>
  <c r="J127" i="13"/>
  <c r="I127" i="13"/>
  <c r="BJ125" i="13"/>
  <c r="BD125" i="13"/>
  <c r="AP125" i="13"/>
  <c r="AO125" i="13"/>
  <c r="BH125" i="13" s="1"/>
  <c r="AD125" i="13" s="1"/>
  <c r="AK125" i="13"/>
  <c r="AJ125" i="13"/>
  <c r="AH125" i="13"/>
  <c r="AG125" i="13"/>
  <c r="AF125" i="13"/>
  <c r="AC125" i="13"/>
  <c r="AB125" i="13"/>
  <c r="Z125" i="13"/>
  <c r="M125" i="13"/>
  <c r="BF125" i="13" s="1"/>
  <c r="K125" i="13"/>
  <c r="AL125" i="13" s="1"/>
  <c r="BJ123" i="13"/>
  <c r="BF123" i="13"/>
  <c r="BD123" i="13"/>
  <c r="AW123" i="13"/>
  <c r="AP123" i="13"/>
  <c r="BI123" i="13" s="1"/>
  <c r="AE123" i="13" s="1"/>
  <c r="AO123" i="13"/>
  <c r="BH123" i="13" s="1"/>
  <c r="AD123" i="13" s="1"/>
  <c r="AK123" i="13"/>
  <c r="AJ123" i="13"/>
  <c r="AH123" i="13"/>
  <c r="AG123" i="13"/>
  <c r="AF123" i="13"/>
  <c r="AC123" i="13"/>
  <c r="AB123" i="13"/>
  <c r="Z123" i="13"/>
  <c r="M123" i="13"/>
  <c r="K123" i="13"/>
  <c r="AL123" i="13" s="1"/>
  <c r="I123" i="13"/>
  <c r="BJ121" i="13"/>
  <c r="BI121" i="13"/>
  <c r="AE121" i="13" s="1"/>
  <c r="BD121" i="13"/>
  <c r="AP121" i="13"/>
  <c r="AO121" i="13"/>
  <c r="BH121" i="13" s="1"/>
  <c r="AD121" i="13" s="1"/>
  <c r="AK121" i="13"/>
  <c r="AJ121" i="13"/>
  <c r="AH121" i="13"/>
  <c r="AG121" i="13"/>
  <c r="AF121" i="13"/>
  <c r="AC121" i="13"/>
  <c r="AB121" i="13"/>
  <c r="Z121" i="13"/>
  <c r="M121" i="13"/>
  <c r="BF121" i="13" s="1"/>
  <c r="K121" i="13"/>
  <c r="AL121" i="13" s="1"/>
  <c r="I121" i="13"/>
  <c r="BJ119" i="13"/>
  <c r="BF119" i="13"/>
  <c r="BD119" i="13"/>
  <c r="AW119" i="13"/>
  <c r="AP119" i="13"/>
  <c r="BI119" i="13" s="1"/>
  <c r="AE119" i="13" s="1"/>
  <c r="AO119" i="13"/>
  <c r="BH119" i="13" s="1"/>
  <c r="AD119" i="13" s="1"/>
  <c r="AK119" i="13"/>
  <c r="AJ119" i="13"/>
  <c r="AH119" i="13"/>
  <c r="AG119" i="13"/>
  <c r="AF119" i="13"/>
  <c r="AC119" i="13"/>
  <c r="AB119" i="13"/>
  <c r="Z119" i="13"/>
  <c r="M119" i="13"/>
  <c r="K119" i="13"/>
  <c r="AL119" i="13" s="1"/>
  <c r="J119" i="13"/>
  <c r="I119" i="13"/>
  <c r="BJ117" i="13"/>
  <c r="BI117" i="13"/>
  <c r="AE117" i="13" s="1"/>
  <c r="BD117" i="13"/>
  <c r="AP117" i="13"/>
  <c r="AO117" i="13"/>
  <c r="BH117" i="13" s="1"/>
  <c r="AD117" i="13" s="1"/>
  <c r="AK117" i="13"/>
  <c r="AJ117" i="13"/>
  <c r="AH117" i="13"/>
  <c r="AG117" i="13"/>
  <c r="AF117" i="13"/>
  <c r="AC117" i="13"/>
  <c r="AB117" i="13"/>
  <c r="Z117" i="13"/>
  <c r="M117" i="13"/>
  <c r="BF117" i="13" s="1"/>
  <c r="K117" i="13"/>
  <c r="AL117" i="13" s="1"/>
  <c r="BJ115" i="13"/>
  <c r="BF115" i="13"/>
  <c r="BD115" i="13"/>
  <c r="AP115" i="13"/>
  <c r="BI115" i="13" s="1"/>
  <c r="AE115" i="13" s="1"/>
  <c r="AO115" i="13"/>
  <c r="BH115" i="13" s="1"/>
  <c r="AD115" i="13" s="1"/>
  <c r="AK115" i="13"/>
  <c r="AJ115" i="13"/>
  <c r="AH115" i="13"/>
  <c r="AG115" i="13"/>
  <c r="AF115" i="13"/>
  <c r="AC115" i="13"/>
  <c r="AB115" i="13"/>
  <c r="Z115" i="13"/>
  <c r="M115" i="13"/>
  <c r="K115" i="13"/>
  <c r="AL115" i="13" s="1"/>
  <c r="J115" i="13"/>
  <c r="I115" i="13"/>
  <c r="BJ113" i="13"/>
  <c r="BD113" i="13"/>
  <c r="AP113" i="13"/>
  <c r="BI113" i="13" s="1"/>
  <c r="AE113" i="13" s="1"/>
  <c r="AO113" i="13"/>
  <c r="BH113" i="13" s="1"/>
  <c r="AD113" i="13" s="1"/>
  <c r="AK113" i="13"/>
  <c r="AJ113" i="13"/>
  <c r="AH113" i="13"/>
  <c r="AG113" i="13"/>
  <c r="AF113" i="13"/>
  <c r="AC113" i="13"/>
  <c r="AB113" i="13"/>
  <c r="Z113" i="13"/>
  <c r="M113" i="13"/>
  <c r="BF113" i="13" s="1"/>
  <c r="K113" i="13"/>
  <c r="AL113" i="13" s="1"/>
  <c r="BJ111" i="13"/>
  <c r="BF111" i="13"/>
  <c r="BD111" i="13"/>
  <c r="AW111" i="13"/>
  <c r="AP111" i="13"/>
  <c r="BI111" i="13" s="1"/>
  <c r="AE111" i="13" s="1"/>
  <c r="AO111" i="13"/>
  <c r="BH111" i="13" s="1"/>
  <c r="AD111" i="13" s="1"/>
  <c r="AK111" i="13"/>
  <c r="AJ111" i="13"/>
  <c r="AH111" i="13"/>
  <c r="AG111" i="13"/>
  <c r="AF111" i="13"/>
  <c r="AC111" i="13"/>
  <c r="AB111" i="13"/>
  <c r="Z111" i="13"/>
  <c r="M111" i="13"/>
  <c r="K111" i="13"/>
  <c r="AL111" i="13" s="1"/>
  <c r="I111" i="13"/>
  <c r="BJ109" i="13"/>
  <c r="BD109" i="13"/>
  <c r="AP109" i="13"/>
  <c r="AO109" i="13"/>
  <c r="BH109" i="13" s="1"/>
  <c r="AD109" i="13" s="1"/>
  <c r="AK109" i="13"/>
  <c r="AJ109" i="13"/>
  <c r="AH109" i="13"/>
  <c r="AG109" i="13"/>
  <c r="AF109" i="13"/>
  <c r="AC109" i="13"/>
  <c r="AB109" i="13"/>
  <c r="Z109" i="13"/>
  <c r="M109" i="13"/>
  <c r="BF109" i="13" s="1"/>
  <c r="K109" i="13"/>
  <c r="AL109" i="13" s="1"/>
  <c r="BJ106" i="13"/>
  <c r="BF106" i="13"/>
  <c r="BD106" i="13"/>
  <c r="AP106" i="13"/>
  <c r="BI106" i="13" s="1"/>
  <c r="AE106" i="13" s="1"/>
  <c r="AO106" i="13"/>
  <c r="BH106" i="13" s="1"/>
  <c r="AD106" i="13" s="1"/>
  <c r="AL106" i="13"/>
  <c r="AK106" i="13"/>
  <c r="AJ106" i="13"/>
  <c r="AH106" i="13"/>
  <c r="AG106" i="13"/>
  <c r="AF106" i="13"/>
  <c r="AC106" i="13"/>
  <c r="AB106" i="13"/>
  <c r="Z106" i="13"/>
  <c r="M106" i="13"/>
  <c r="K106" i="13"/>
  <c r="I106" i="13"/>
  <c r="BJ103" i="13"/>
  <c r="BD103" i="13"/>
  <c r="AP103" i="13"/>
  <c r="BI103" i="13" s="1"/>
  <c r="AE103" i="13" s="1"/>
  <c r="AO103" i="13"/>
  <c r="BH103" i="13" s="1"/>
  <c r="AD103" i="13" s="1"/>
  <c r="AK103" i="13"/>
  <c r="AJ103" i="13"/>
  <c r="AH103" i="13"/>
  <c r="AG103" i="13"/>
  <c r="AF103" i="13"/>
  <c r="AC103" i="13"/>
  <c r="AB103" i="13"/>
  <c r="Z103" i="13"/>
  <c r="M103" i="13"/>
  <c r="BF103" i="13" s="1"/>
  <c r="K103" i="13"/>
  <c r="AL103" i="13" s="1"/>
  <c r="I103" i="13"/>
  <c r="BJ101" i="13"/>
  <c r="BF101" i="13"/>
  <c r="BD101" i="13"/>
  <c r="AP101" i="13"/>
  <c r="BI101" i="13" s="1"/>
  <c r="AE101" i="13" s="1"/>
  <c r="AO101" i="13"/>
  <c r="BH101" i="13" s="1"/>
  <c r="AD101" i="13" s="1"/>
  <c r="AK101" i="13"/>
  <c r="AJ101" i="13"/>
  <c r="AH101" i="13"/>
  <c r="AG101" i="13"/>
  <c r="AF101" i="13"/>
  <c r="AC101" i="13"/>
  <c r="AB101" i="13"/>
  <c r="Z101" i="13"/>
  <c r="M101" i="13"/>
  <c r="K101" i="13"/>
  <c r="AL101" i="13" s="1"/>
  <c r="J101" i="13"/>
  <c r="I101" i="13"/>
  <c r="BJ99" i="13"/>
  <c r="BD99" i="13"/>
  <c r="AP99" i="13"/>
  <c r="BI99" i="13" s="1"/>
  <c r="AE99" i="13" s="1"/>
  <c r="AO99" i="13"/>
  <c r="BH99" i="13" s="1"/>
  <c r="AD99" i="13" s="1"/>
  <c r="AK99" i="13"/>
  <c r="AJ99" i="13"/>
  <c r="AH99" i="13"/>
  <c r="AG99" i="13"/>
  <c r="AF99" i="13"/>
  <c r="AC99" i="13"/>
  <c r="AB99" i="13"/>
  <c r="Z99" i="13"/>
  <c r="M99" i="13"/>
  <c r="BF99" i="13" s="1"/>
  <c r="K99" i="13"/>
  <c r="AL99" i="13" s="1"/>
  <c r="BJ97" i="13"/>
  <c r="BF97" i="13"/>
  <c r="BD97" i="13"/>
  <c r="AP97" i="13"/>
  <c r="BI97" i="13" s="1"/>
  <c r="AE97" i="13" s="1"/>
  <c r="AO97" i="13"/>
  <c r="BH97" i="13" s="1"/>
  <c r="AD97" i="13" s="1"/>
  <c r="AK97" i="13"/>
  <c r="AJ97" i="13"/>
  <c r="AH97" i="13"/>
  <c r="AG97" i="13"/>
  <c r="AF97" i="13"/>
  <c r="AC97" i="13"/>
  <c r="AB97" i="13"/>
  <c r="Z97" i="13"/>
  <c r="M97" i="13"/>
  <c r="K97" i="13"/>
  <c r="AL97" i="13" s="1"/>
  <c r="J97" i="13"/>
  <c r="I97" i="13"/>
  <c r="BJ95" i="13"/>
  <c r="BD95" i="13"/>
  <c r="AP95" i="13"/>
  <c r="BI95" i="13" s="1"/>
  <c r="AE95" i="13" s="1"/>
  <c r="AO95" i="13"/>
  <c r="BH95" i="13" s="1"/>
  <c r="AD95" i="13" s="1"/>
  <c r="AK95" i="13"/>
  <c r="AJ95" i="13"/>
  <c r="AH95" i="13"/>
  <c r="AG95" i="13"/>
  <c r="AF95" i="13"/>
  <c r="AC95" i="13"/>
  <c r="AB95" i="13"/>
  <c r="Z95" i="13"/>
  <c r="M95" i="13"/>
  <c r="BF95" i="13" s="1"/>
  <c r="K95" i="13"/>
  <c r="AL95" i="13" s="1"/>
  <c r="I95" i="13"/>
  <c r="BJ93" i="13"/>
  <c r="BF93" i="13"/>
  <c r="BD93" i="13"/>
  <c r="AW93" i="13"/>
  <c r="AP93" i="13"/>
  <c r="BI93" i="13" s="1"/>
  <c r="AE93" i="13" s="1"/>
  <c r="AO93" i="13"/>
  <c r="BH93" i="13" s="1"/>
  <c r="AD93" i="13" s="1"/>
  <c r="AL93" i="13"/>
  <c r="AK93" i="13"/>
  <c r="AJ93" i="13"/>
  <c r="AH93" i="13"/>
  <c r="AG93" i="13"/>
  <c r="AF93" i="13"/>
  <c r="AC93" i="13"/>
  <c r="AB93" i="13"/>
  <c r="Z93" i="13"/>
  <c r="M93" i="13"/>
  <c r="K93" i="13"/>
  <c r="I93" i="13"/>
  <c r="BJ91" i="13"/>
  <c r="BD91" i="13"/>
  <c r="AP91" i="13"/>
  <c r="AO91" i="13"/>
  <c r="BH91" i="13" s="1"/>
  <c r="AD91" i="13" s="1"/>
  <c r="AK91" i="13"/>
  <c r="AJ91" i="13"/>
  <c r="AH91" i="13"/>
  <c r="AG91" i="13"/>
  <c r="AF91" i="13"/>
  <c r="AC91" i="13"/>
  <c r="AB91" i="13"/>
  <c r="Z91" i="13"/>
  <c r="M91" i="13"/>
  <c r="BF91" i="13" s="1"/>
  <c r="K91" i="13"/>
  <c r="AL91" i="13" s="1"/>
  <c r="BJ89" i="13"/>
  <c r="BF89" i="13"/>
  <c r="BD89" i="13"/>
  <c r="AP89" i="13"/>
  <c r="BI89" i="13" s="1"/>
  <c r="AE89" i="13" s="1"/>
  <c r="AO89" i="13"/>
  <c r="BH89" i="13" s="1"/>
  <c r="AD89" i="13" s="1"/>
  <c r="AK89" i="13"/>
  <c r="AJ89" i="13"/>
  <c r="AH89" i="13"/>
  <c r="AG89" i="13"/>
  <c r="AF89" i="13"/>
  <c r="AC89" i="13"/>
  <c r="AB89" i="13"/>
  <c r="Z89" i="13"/>
  <c r="M89" i="13"/>
  <c r="K89" i="13"/>
  <c r="AL89" i="13" s="1"/>
  <c r="I89" i="13"/>
  <c r="BJ87" i="13"/>
  <c r="BI87" i="13"/>
  <c r="AE87" i="13" s="1"/>
  <c r="BD87" i="13"/>
  <c r="AP87" i="13"/>
  <c r="AO87" i="13"/>
  <c r="BH87" i="13" s="1"/>
  <c r="AD87" i="13" s="1"/>
  <c r="AK87" i="13"/>
  <c r="AJ87" i="13"/>
  <c r="AH87" i="13"/>
  <c r="AG87" i="13"/>
  <c r="AF87" i="13"/>
  <c r="AC87" i="13"/>
  <c r="AB87" i="13"/>
  <c r="Z87" i="13"/>
  <c r="M87" i="13"/>
  <c r="BF87" i="13" s="1"/>
  <c r="K87" i="13"/>
  <c r="AL87" i="13" s="1"/>
  <c r="I87" i="13"/>
  <c r="BJ84" i="13"/>
  <c r="BF84" i="13"/>
  <c r="BD84" i="13"/>
  <c r="AP84" i="13"/>
  <c r="BI84" i="13" s="1"/>
  <c r="AE84" i="13" s="1"/>
  <c r="AO84" i="13"/>
  <c r="BH84" i="13" s="1"/>
  <c r="AD84" i="13" s="1"/>
  <c r="AK84" i="13"/>
  <c r="AJ84" i="13"/>
  <c r="AH84" i="13"/>
  <c r="AG84" i="13"/>
  <c r="AF84" i="13"/>
  <c r="AC84" i="13"/>
  <c r="AB84" i="13"/>
  <c r="Z84" i="13"/>
  <c r="M84" i="13"/>
  <c r="K84" i="13"/>
  <c r="AL84" i="13" s="1"/>
  <c r="J84" i="13"/>
  <c r="I84" i="13"/>
  <c r="BJ81" i="13"/>
  <c r="BD81" i="13"/>
  <c r="AP81" i="13"/>
  <c r="BI81" i="13" s="1"/>
  <c r="AE81" i="13" s="1"/>
  <c r="AO81" i="13"/>
  <c r="BH81" i="13" s="1"/>
  <c r="AD81" i="13" s="1"/>
  <c r="AK81" i="13"/>
  <c r="AJ81" i="13"/>
  <c r="AH81" i="13"/>
  <c r="AG81" i="13"/>
  <c r="AF81" i="13"/>
  <c r="AC81" i="13"/>
  <c r="AB81" i="13"/>
  <c r="Z81" i="13"/>
  <c r="M81" i="13"/>
  <c r="BF81" i="13" s="1"/>
  <c r="K81" i="13"/>
  <c r="AL81" i="13" s="1"/>
  <c r="BJ78" i="13"/>
  <c r="BF78" i="13"/>
  <c r="BD78" i="13"/>
  <c r="AW78" i="13"/>
  <c r="AP78" i="13"/>
  <c r="BI78" i="13" s="1"/>
  <c r="AE78" i="13" s="1"/>
  <c r="AO78" i="13"/>
  <c r="BH78" i="13" s="1"/>
  <c r="AD78" i="13" s="1"/>
  <c r="AK78" i="13"/>
  <c r="AJ78" i="13"/>
  <c r="AH78" i="13"/>
  <c r="AG78" i="13"/>
  <c r="AF78" i="13"/>
  <c r="AC78" i="13"/>
  <c r="AB78" i="13"/>
  <c r="Z78" i="13"/>
  <c r="M78" i="13"/>
  <c r="K78" i="13"/>
  <c r="AL78" i="13" s="1"/>
  <c r="J78" i="13"/>
  <c r="I78" i="13"/>
  <c r="BJ76" i="13"/>
  <c r="BD76" i="13"/>
  <c r="AP76" i="13"/>
  <c r="BI76" i="13" s="1"/>
  <c r="AE76" i="13" s="1"/>
  <c r="AO76" i="13"/>
  <c r="BH76" i="13" s="1"/>
  <c r="AD76" i="13" s="1"/>
  <c r="AK76" i="13"/>
  <c r="AJ76" i="13"/>
  <c r="AH76" i="13"/>
  <c r="AG76" i="13"/>
  <c r="AF76" i="13"/>
  <c r="AC76" i="13"/>
  <c r="AB76" i="13"/>
  <c r="Z76" i="13"/>
  <c r="M76" i="13"/>
  <c r="BF76" i="13" s="1"/>
  <c r="K76" i="13"/>
  <c r="AL76" i="13" s="1"/>
  <c r="BJ74" i="13"/>
  <c r="BF74" i="13"/>
  <c r="BD74" i="13"/>
  <c r="AW74" i="13"/>
  <c r="AP74" i="13"/>
  <c r="BI74" i="13" s="1"/>
  <c r="AE74" i="13" s="1"/>
  <c r="AO74" i="13"/>
  <c r="BH74" i="13" s="1"/>
  <c r="AD74" i="13" s="1"/>
  <c r="AK74" i="13"/>
  <c r="AJ74" i="13"/>
  <c r="AH74" i="13"/>
  <c r="AG74" i="13"/>
  <c r="AF74" i="13"/>
  <c r="AC74" i="13"/>
  <c r="AB74" i="13"/>
  <c r="Z74" i="13"/>
  <c r="M74" i="13"/>
  <c r="K74" i="13"/>
  <c r="AL74" i="13" s="1"/>
  <c r="I74" i="13"/>
  <c r="BJ72" i="13"/>
  <c r="BD72" i="13"/>
  <c r="AP72" i="13"/>
  <c r="AO72" i="13"/>
  <c r="BH72" i="13" s="1"/>
  <c r="AD72" i="13" s="1"/>
  <c r="AK72" i="13"/>
  <c r="AJ72" i="13"/>
  <c r="AH72" i="13"/>
  <c r="AG72" i="13"/>
  <c r="AF72" i="13"/>
  <c r="AC72" i="13"/>
  <c r="AB72" i="13"/>
  <c r="Z72" i="13"/>
  <c r="M72" i="13"/>
  <c r="BF72" i="13" s="1"/>
  <c r="K72" i="13"/>
  <c r="AL72" i="13" s="1"/>
  <c r="BJ70" i="13"/>
  <c r="BF70" i="13"/>
  <c r="BD70" i="13"/>
  <c r="AP70" i="13"/>
  <c r="BI70" i="13" s="1"/>
  <c r="AE70" i="13" s="1"/>
  <c r="AO70" i="13"/>
  <c r="BH70" i="13" s="1"/>
  <c r="AD70" i="13" s="1"/>
  <c r="AK70" i="13"/>
  <c r="AJ70" i="13"/>
  <c r="AH70" i="13"/>
  <c r="AG70" i="13"/>
  <c r="AF70" i="13"/>
  <c r="AC70" i="13"/>
  <c r="AB70" i="13"/>
  <c r="Z70" i="13"/>
  <c r="M70" i="13"/>
  <c r="K70" i="13"/>
  <c r="AL70" i="13" s="1"/>
  <c r="J70" i="13"/>
  <c r="I70" i="13"/>
  <c r="BJ68" i="13"/>
  <c r="BD68" i="13"/>
  <c r="AP68" i="13"/>
  <c r="BI68" i="13" s="1"/>
  <c r="AE68" i="13" s="1"/>
  <c r="AO68" i="13"/>
  <c r="BH68" i="13" s="1"/>
  <c r="AD68" i="13" s="1"/>
  <c r="AK68" i="13"/>
  <c r="AJ68" i="13"/>
  <c r="AH68" i="13"/>
  <c r="AG68" i="13"/>
  <c r="AF68" i="13"/>
  <c r="AC68" i="13"/>
  <c r="AB68" i="13"/>
  <c r="Z68" i="13"/>
  <c r="M68" i="13"/>
  <c r="BF68" i="13" s="1"/>
  <c r="K68" i="13"/>
  <c r="AL68" i="13" s="1"/>
  <c r="I68" i="13"/>
  <c r="BJ66" i="13"/>
  <c r="BF66" i="13"/>
  <c r="BD66" i="13"/>
  <c r="AX66" i="13"/>
  <c r="AP66" i="13"/>
  <c r="BI66" i="13" s="1"/>
  <c r="AE66" i="13" s="1"/>
  <c r="AO66" i="13"/>
  <c r="BH66" i="13" s="1"/>
  <c r="AD66" i="13" s="1"/>
  <c r="AL66" i="13"/>
  <c r="AK66" i="13"/>
  <c r="AJ66" i="13"/>
  <c r="AH66" i="13"/>
  <c r="AG66" i="13"/>
  <c r="AF66" i="13"/>
  <c r="AC66" i="13"/>
  <c r="AB66" i="13"/>
  <c r="Z66" i="13"/>
  <c r="M66" i="13"/>
  <c r="K66" i="13"/>
  <c r="I66" i="13"/>
  <c r="BJ64" i="13"/>
  <c r="BD64" i="13"/>
  <c r="AP64" i="13"/>
  <c r="AO64" i="13"/>
  <c r="BH64" i="13" s="1"/>
  <c r="AD64" i="13" s="1"/>
  <c r="AK64" i="13"/>
  <c r="AJ64" i="13"/>
  <c r="AH64" i="13"/>
  <c r="AG64" i="13"/>
  <c r="AF64" i="13"/>
  <c r="AC64" i="13"/>
  <c r="AB64" i="13"/>
  <c r="Z64" i="13"/>
  <c r="M64" i="13"/>
  <c r="BF64" i="13" s="1"/>
  <c r="K64" i="13"/>
  <c r="AL64" i="13" s="1"/>
  <c r="BJ57" i="13"/>
  <c r="BF57" i="13"/>
  <c r="BD57" i="13"/>
  <c r="AX57" i="13"/>
  <c r="AW57" i="13"/>
  <c r="AP57" i="13"/>
  <c r="BI57" i="13" s="1"/>
  <c r="AE57" i="13" s="1"/>
  <c r="AO57" i="13"/>
  <c r="BH57" i="13" s="1"/>
  <c r="AD57" i="13" s="1"/>
  <c r="AK57" i="13"/>
  <c r="AJ57" i="13"/>
  <c r="AH57" i="13"/>
  <c r="AG57" i="13"/>
  <c r="AF57" i="13"/>
  <c r="AC57" i="13"/>
  <c r="AB57" i="13"/>
  <c r="Z57" i="13"/>
  <c r="M57" i="13"/>
  <c r="K57" i="13"/>
  <c r="J57" i="13"/>
  <c r="I57" i="13"/>
  <c r="BJ50" i="13"/>
  <c r="BI50" i="13"/>
  <c r="AE50" i="13" s="1"/>
  <c r="BD50" i="13"/>
  <c r="AP50" i="13"/>
  <c r="AO50" i="13"/>
  <c r="BH50" i="13" s="1"/>
  <c r="AD50" i="13" s="1"/>
  <c r="AK50" i="13"/>
  <c r="AJ50" i="13"/>
  <c r="AH50" i="13"/>
  <c r="AG50" i="13"/>
  <c r="AF50" i="13"/>
  <c r="AC50" i="13"/>
  <c r="AB50" i="13"/>
  <c r="Z50" i="13"/>
  <c r="M50" i="13"/>
  <c r="BF50" i="13" s="1"/>
  <c r="K50" i="13"/>
  <c r="AL50" i="13" s="1"/>
  <c r="I50" i="13"/>
  <c r="M49" i="13"/>
  <c r="BJ48" i="13"/>
  <c r="Z48" i="13" s="1"/>
  <c r="BD48" i="13"/>
  <c r="AP48" i="13"/>
  <c r="BI48" i="13" s="1"/>
  <c r="AO48" i="13"/>
  <c r="BH48" i="13" s="1"/>
  <c r="AK48" i="13"/>
  <c r="AJ48" i="13"/>
  <c r="AH48" i="13"/>
  <c r="AG48" i="13"/>
  <c r="AF48" i="13"/>
  <c r="AE48" i="13"/>
  <c r="AD48" i="13"/>
  <c r="AC48" i="13"/>
  <c r="AB48" i="13"/>
  <c r="M48" i="13"/>
  <c r="BF48" i="13" s="1"/>
  <c r="K48" i="13"/>
  <c r="AL48" i="13" s="1"/>
  <c r="J48" i="13"/>
  <c r="BJ46" i="13"/>
  <c r="BD46" i="13"/>
  <c r="AX46" i="13"/>
  <c r="AP46" i="13"/>
  <c r="BI46" i="13" s="1"/>
  <c r="AE46" i="13" s="1"/>
  <c r="AO46" i="13"/>
  <c r="AK46" i="13"/>
  <c r="AJ46" i="13"/>
  <c r="AH46" i="13"/>
  <c r="AG46" i="13"/>
  <c r="AF46" i="13"/>
  <c r="AC46" i="13"/>
  <c r="AB46" i="13"/>
  <c r="Z46" i="13"/>
  <c r="M46" i="13"/>
  <c r="BF46" i="13" s="1"/>
  <c r="K46" i="13"/>
  <c r="AL46" i="13" s="1"/>
  <c r="J46" i="13"/>
  <c r="BJ44" i="13"/>
  <c r="BD44" i="13"/>
  <c r="AP44" i="13"/>
  <c r="BI44" i="13" s="1"/>
  <c r="AE44" i="13" s="1"/>
  <c r="AO44" i="13"/>
  <c r="BH44" i="13" s="1"/>
  <c r="AD44" i="13" s="1"/>
  <c r="AK44" i="13"/>
  <c r="AJ44" i="13"/>
  <c r="AH44" i="13"/>
  <c r="AG44" i="13"/>
  <c r="AF44" i="13"/>
  <c r="AC44" i="13"/>
  <c r="AB44" i="13"/>
  <c r="Z44" i="13"/>
  <c r="M44" i="13"/>
  <c r="BF44" i="13" s="1"/>
  <c r="K44" i="13"/>
  <c r="AL44" i="13" s="1"/>
  <c r="J44" i="13"/>
  <c r="I44" i="13"/>
  <c r="BJ42" i="13"/>
  <c r="BD42" i="13"/>
  <c r="AP42" i="13"/>
  <c r="BI42" i="13" s="1"/>
  <c r="AE42" i="13" s="1"/>
  <c r="AO42" i="13"/>
  <c r="I42" i="13" s="1"/>
  <c r="AK42" i="13"/>
  <c r="AJ42" i="13"/>
  <c r="AH42" i="13"/>
  <c r="AG42" i="13"/>
  <c r="AF42" i="13"/>
  <c r="AC42" i="13"/>
  <c r="AB42" i="13"/>
  <c r="Z42" i="13"/>
  <c r="M42" i="13"/>
  <c r="BF42" i="13" s="1"/>
  <c r="K42" i="13"/>
  <c r="AL42" i="13" s="1"/>
  <c r="BJ40" i="13"/>
  <c r="BD40" i="13"/>
  <c r="AP40" i="13"/>
  <c r="AX40" i="13" s="1"/>
  <c r="AO40" i="13"/>
  <c r="BH40" i="13" s="1"/>
  <c r="AD40" i="13" s="1"/>
  <c r="AK40" i="13"/>
  <c r="AJ40" i="13"/>
  <c r="AH40" i="13"/>
  <c r="AG40" i="13"/>
  <c r="AF40" i="13"/>
  <c r="AC40" i="13"/>
  <c r="AB40" i="13"/>
  <c r="Z40" i="13"/>
  <c r="M40" i="13"/>
  <c r="BF40" i="13" s="1"/>
  <c r="K40" i="13"/>
  <c r="AL40" i="13" s="1"/>
  <c r="I40" i="13"/>
  <c r="BJ38" i="13"/>
  <c r="BD38" i="13"/>
  <c r="AX38" i="13"/>
  <c r="AP38" i="13"/>
  <c r="BI38" i="13" s="1"/>
  <c r="AE38" i="13" s="1"/>
  <c r="AO38" i="13"/>
  <c r="I38" i="13" s="1"/>
  <c r="AL38" i="13"/>
  <c r="AK38" i="13"/>
  <c r="AJ38" i="13"/>
  <c r="AH38" i="13"/>
  <c r="AG38" i="13"/>
  <c r="AF38" i="13"/>
  <c r="AC38" i="13"/>
  <c r="AB38" i="13"/>
  <c r="Z38" i="13"/>
  <c r="M38" i="13"/>
  <c r="BF38" i="13" s="1"/>
  <c r="K38" i="13"/>
  <c r="J38" i="13"/>
  <c r="BJ35" i="13"/>
  <c r="BD35" i="13"/>
  <c r="AP35" i="13"/>
  <c r="AX35" i="13" s="1"/>
  <c r="AO35" i="13"/>
  <c r="BH35" i="13" s="1"/>
  <c r="AD35" i="13" s="1"/>
  <c r="AK35" i="13"/>
  <c r="AJ35" i="13"/>
  <c r="AH35" i="13"/>
  <c r="AG35" i="13"/>
  <c r="AF35" i="13"/>
  <c r="AC35" i="13"/>
  <c r="AB35" i="13"/>
  <c r="Z35" i="13"/>
  <c r="M35" i="13"/>
  <c r="BF35" i="13" s="1"/>
  <c r="K35" i="13"/>
  <c r="AL35" i="13" s="1"/>
  <c r="J35" i="13"/>
  <c r="I35" i="13"/>
  <c r="BJ31" i="13"/>
  <c r="BD31" i="13"/>
  <c r="AP31" i="13"/>
  <c r="BI31" i="13" s="1"/>
  <c r="AE31" i="13" s="1"/>
  <c r="AO31" i="13"/>
  <c r="I31" i="13" s="1"/>
  <c r="AK31" i="13"/>
  <c r="AJ31" i="13"/>
  <c r="AH31" i="13"/>
  <c r="AG31" i="13"/>
  <c r="AF31" i="13"/>
  <c r="AC31" i="13"/>
  <c r="AB31" i="13"/>
  <c r="Z31" i="13"/>
  <c r="M31" i="13"/>
  <c r="BF31" i="13" s="1"/>
  <c r="K31" i="13"/>
  <c r="AL31" i="13" s="1"/>
  <c r="J31" i="13"/>
  <c r="BJ29" i="13"/>
  <c r="BD29" i="13"/>
  <c r="AP29" i="13"/>
  <c r="AX29" i="13" s="1"/>
  <c r="AO29" i="13"/>
  <c r="BH29" i="13" s="1"/>
  <c r="AD29" i="13" s="1"/>
  <c r="AK29" i="13"/>
  <c r="AJ29" i="13"/>
  <c r="AH29" i="13"/>
  <c r="AG29" i="13"/>
  <c r="AF29" i="13"/>
  <c r="AC29" i="13"/>
  <c r="AB29" i="13"/>
  <c r="Z29" i="13"/>
  <c r="M29" i="13"/>
  <c r="BF29" i="13" s="1"/>
  <c r="K29" i="13"/>
  <c r="AL29" i="13" s="1"/>
  <c r="J29" i="13"/>
  <c r="I29" i="13"/>
  <c r="BJ27" i="13"/>
  <c r="BD27" i="13"/>
  <c r="AP27" i="13"/>
  <c r="BI27" i="13" s="1"/>
  <c r="AE27" i="13" s="1"/>
  <c r="AO27" i="13"/>
  <c r="I27" i="13" s="1"/>
  <c r="AK27" i="13"/>
  <c r="AJ27" i="13"/>
  <c r="AH27" i="13"/>
  <c r="AG27" i="13"/>
  <c r="AF27" i="13"/>
  <c r="AC27" i="13"/>
  <c r="AB27" i="13"/>
  <c r="Z27" i="13"/>
  <c r="M27" i="13"/>
  <c r="BF27" i="13" s="1"/>
  <c r="K27" i="13"/>
  <c r="AL27" i="13" s="1"/>
  <c r="J27" i="13"/>
  <c r="BJ25" i="13"/>
  <c r="BD25" i="13"/>
  <c r="AP25" i="13"/>
  <c r="AX25" i="13" s="1"/>
  <c r="AO25" i="13"/>
  <c r="BH25" i="13" s="1"/>
  <c r="AD25" i="13" s="1"/>
  <c r="AK25" i="13"/>
  <c r="AJ25" i="13"/>
  <c r="AH25" i="13"/>
  <c r="AG25" i="13"/>
  <c r="AF25" i="13"/>
  <c r="AC25" i="13"/>
  <c r="AB25" i="13"/>
  <c r="Z25" i="13"/>
  <c r="M25" i="13"/>
  <c r="BF25" i="13" s="1"/>
  <c r="K25" i="13"/>
  <c r="AL25" i="13" s="1"/>
  <c r="J25" i="13"/>
  <c r="I25" i="13"/>
  <c r="BJ23" i="13"/>
  <c r="BD23" i="13"/>
  <c r="AX23" i="13"/>
  <c r="AP23" i="13"/>
  <c r="BI23" i="13" s="1"/>
  <c r="AE23" i="13" s="1"/>
  <c r="AO23" i="13"/>
  <c r="I23" i="13" s="1"/>
  <c r="AL23" i="13"/>
  <c r="AK23" i="13"/>
  <c r="AJ23" i="13"/>
  <c r="AH23" i="13"/>
  <c r="AG23" i="13"/>
  <c r="AF23" i="13"/>
  <c r="AC23" i="13"/>
  <c r="AB23" i="13"/>
  <c r="Z23" i="13"/>
  <c r="M23" i="13"/>
  <c r="M16" i="13" s="1"/>
  <c r="K23" i="13"/>
  <c r="J23" i="13"/>
  <c r="BJ21" i="13"/>
  <c r="BD21" i="13"/>
  <c r="AP21" i="13"/>
  <c r="AX21" i="13" s="1"/>
  <c r="AO21" i="13"/>
  <c r="BH21" i="13" s="1"/>
  <c r="AD21" i="13" s="1"/>
  <c r="AK21" i="13"/>
  <c r="AJ21" i="13"/>
  <c r="AH21" i="13"/>
  <c r="AG21" i="13"/>
  <c r="AF21" i="13"/>
  <c r="AC21" i="13"/>
  <c r="AB21" i="13"/>
  <c r="Z21" i="13"/>
  <c r="M21" i="13"/>
  <c r="BF21" i="13" s="1"/>
  <c r="K21" i="13"/>
  <c r="AL21" i="13" s="1"/>
  <c r="BJ19" i="13"/>
  <c r="BD19" i="13"/>
  <c r="AX19" i="13"/>
  <c r="AW19" i="13"/>
  <c r="AP19" i="13"/>
  <c r="BI19" i="13" s="1"/>
  <c r="AE19" i="13" s="1"/>
  <c r="AO19" i="13"/>
  <c r="I19" i="13" s="1"/>
  <c r="AK19" i="13"/>
  <c r="AJ19" i="13"/>
  <c r="AH19" i="13"/>
  <c r="AG19" i="13"/>
  <c r="AF19" i="13"/>
  <c r="AC19" i="13"/>
  <c r="AB19" i="13"/>
  <c r="Z19" i="13"/>
  <c r="M19" i="13"/>
  <c r="BF19" i="13" s="1"/>
  <c r="K19" i="13"/>
  <c r="AL19" i="13" s="1"/>
  <c r="J19" i="13"/>
  <c r="BJ17" i="13"/>
  <c r="BD17" i="13"/>
  <c r="AP17" i="13"/>
  <c r="AX17" i="13" s="1"/>
  <c r="AO17" i="13"/>
  <c r="BH17" i="13" s="1"/>
  <c r="AD17" i="13" s="1"/>
  <c r="AK17" i="13"/>
  <c r="AJ17" i="13"/>
  <c r="AS16" i="13" s="1"/>
  <c r="AH17" i="13"/>
  <c r="AG17" i="13"/>
  <c r="AF17" i="13"/>
  <c r="AC17" i="13"/>
  <c r="AB17" i="13"/>
  <c r="Z17" i="13"/>
  <c r="M17" i="13"/>
  <c r="BF17" i="13" s="1"/>
  <c r="K17" i="13"/>
  <c r="AL17" i="13" s="1"/>
  <c r="J17" i="13"/>
  <c r="I17" i="13"/>
  <c r="BJ14" i="13"/>
  <c r="BF14" i="13"/>
  <c r="BD14" i="13"/>
  <c r="AP14" i="13"/>
  <c r="BI14" i="13" s="1"/>
  <c r="AE14" i="13" s="1"/>
  <c r="AO14" i="13"/>
  <c r="BH14" i="13" s="1"/>
  <c r="AD14" i="13" s="1"/>
  <c r="AK14" i="13"/>
  <c r="AJ14" i="13"/>
  <c r="AH14" i="13"/>
  <c r="AG14" i="13"/>
  <c r="AF14" i="13"/>
  <c r="AC14" i="13"/>
  <c r="AB14" i="13"/>
  <c r="Z14" i="13"/>
  <c r="M14" i="13"/>
  <c r="K14" i="13"/>
  <c r="K13" i="13" s="1"/>
  <c r="J14" i="13"/>
  <c r="J13" i="13" s="1"/>
  <c r="I14" i="13"/>
  <c r="AT13" i="13"/>
  <c r="AS13" i="13"/>
  <c r="M13" i="13"/>
  <c r="I13" i="13"/>
  <c r="I72" i="1"/>
  <c r="I71" i="1"/>
  <c r="I69" i="1"/>
  <c r="I68" i="1"/>
  <c r="I67" i="1"/>
  <c r="I66" i="1"/>
  <c r="I65" i="1"/>
  <c r="I64" i="1"/>
  <c r="I61" i="1"/>
  <c r="I59" i="1"/>
  <c r="I58" i="1"/>
  <c r="I57" i="1"/>
  <c r="I56" i="1"/>
  <c r="I55" i="1"/>
  <c r="I54" i="1"/>
  <c r="I53" i="1"/>
  <c r="I52" i="1"/>
  <c r="I51" i="1"/>
  <c r="I50" i="1"/>
  <c r="I49" i="1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7" i="12"/>
  <c r="I17" i="12"/>
  <c r="K17" i="12"/>
  <c r="M17" i="12"/>
  <c r="O17" i="12"/>
  <c r="Q17" i="12"/>
  <c r="V17" i="12"/>
  <c r="G25" i="12"/>
  <c r="I25" i="12"/>
  <c r="K25" i="12"/>
  <c r="M25" i="12"/>
  <c r="O25" i="12"/>
  <c r="Q25" i="12"/>
  <c r="V25" i="12"/>
  <c r="G36" i="12"/>
  <c r="I36" i="12"/>
  <c r="K36" i="12"/>
  <c r="M36" i="12"/>
  <c r="O36" i="12"/>
  <c r="Q36" i="12"/>
  <c r="V3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86" i="12"/>
  <c r="I86" i="12"/>
  <c r="K86" i="12"/>
  <c r="M86" i="12"/>
  <c r="O86" i="12"/>
  <c r="Q86" i="12"/>
  <c r="V86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101" i="12"/>
  <c r="I101" i="12"/>
  <c r="K101" i="12"/>
  <c r="M101" i="12"/>
  <c r="O101" i="12"/>
  <c r="Q101" i="12"/>
  <c r="V101" i="12"/>
  <c r="G108" i="12"/>
  <c r="I108" i="12"/>
  <c r="K108" i="12"/>
  <c r="M108" i="12"/>
  <c r="O108" i="12"/>
  <c r="Q108" i="12"/>
  <c r="V108" i="12"/>
  <c r="G117" i="12"/>
  <c r="G116" i="12" s="1"/>
  <c r="I117" i="12"/>
  <c r="I116" i="12" s="1"/>
  <c r="K117" i="12"/>
  <c r="K116" i="12" s="1"/>
  <c r="O117" i="12"/>
  <c r="O116" i="12" s="1"/>
  <c r="Q117" i="12"/>
  <c r="Q116" i="12" s="1"/>
  <c r="V117" i="12"/>
  <c r="V116" i="12" s="1"/>
  <c r="G122" i="12"/>
  <c r="I122" i="12"/>
  <c r="K122" i="12"/>
  <c r="K121" i="12" s="1"/>
  <c r="M122" i="12"/>
  <c r="M121" i="12" s="1"/>
  <c r="O122" i="12"/>
  <c r="Q122" i="12"/>
  <c r="V122" i="12"/>
  <c r="V121" i="12" s="1"/>
  <c r="G129" i="12"/>
  <c r="G121" i="12" s="1"/>
  <c r="I129" i="12"/>
  <c r="K129" i="12"/>
  <c r="M129" i="12"/>
  <c r="O129" i="12"/>
  <c r="O121" i="12" s="1"/>
  <c r="Q129" i="12"/>
  <c r="V129" i="12"/>
  <c r="G130" i="12"/>
  <c r="M130" i="12" s="1"/>
  <c r="I130" i="12"/>
  <c r="K130" i="12"/>
  <c r="O130" i="12"/>
  <c r="Q130" i="12"/>
  <c r="V130" i="12"/>
  <c r="G133" i="12"/>
  <c r="M133" i="12" s="1"/>
  <c r="I133" i="12"/>
  <c r="I121" i="12" s="1"/>
  <c r="K133" i="12"/>
  <c r="O133" i="12"/>
  <c r="Q133" i="12"/>
  <c r="Q121" i="12" s="1"/>
  <c r="V133" i="12"/>
  <c r="G134" i="12"/>
  <c r="I134" i="12"/>
  <c r="K134" i="12"/>
  <c r="M134" i="12"/>
  <c r="O134" i="12"/>
  <c r="Q134" i="12"/>
  <c r="V134" i="12"/>
  <c r="G164" i="12"/>
  <c r="G163" i="12" s="1"/>
  <c r="I164" i="12"/>
  <c r="I163" i="12" s="1"/>
  <c r="K164" i="12"/>
  <c r="O164" i="12"/>
  <c r="O163" i="12" s="1"/>
  <c r="Q164" i="12"/>
  <c r="Q163" i="12" s="1"/>
  <c r="V164" i="12"/>
  <c r="G175" i="12"/>
  <c r="M175" i="12" s="1"/>
  <c r="I175" i="12"/>
  <c r="K175" i="12"/>
  <c r="K163" i="12" s="1"/>
  <c r="O175" i="12"/>
  <c r="Q175" i="12"/>
  <c r="V175" i="12"/>
  <c r="V163" i="12" s="1"/>
  <c r="G176" i="12"/>
  <c r="I176" i="12"/>
  <c r="K176" i="12"/>
  <c r="M176" i="12"/>
  <c r="O176" i="12"/>
  <c r="Q176" i="12"/>
  <c r="V176" i="12"/>
  <c r="G184" i="12"/>
  <c r="G183" i="12" s="1"/>
  <c r="I184" i="12"/>
  <c r="I183" i="12" s="1"/>
  <c r="K184" i="12"/>
  <c r="O184" i="12"/>
  <c r="O183" i="12" s="1"/>
  <c r="Q184" i="12"/>
  <c r="Q183" i="12" s="1"/>
  <c r="V184" i="12"/>
  <c r="G187" i="12"/>
  <c r="M187" i="12" s="1"/>
  <c r="I187" i="12"/>
  <c r="K187" i="12"/>
  <c r="K183" i="12" s="1"/>
  <c r="O187" i="12"/>
  <c r="Q187" i="12"/>
  <c r="V187" i="12"/>
  <c r="V183" i="12" s="1"/>
  <c r="K190" i="12"/>
  <c r="V190" i="12"/>
  <c r="G191" i="12"/>
  <c r="G190" i="12" s="1"/>
  <c r="I191" i="12"/>
  <c r="I190" i="12" s="1"/>
  <c r="K191" i="12"/>
  <c r="M191" i="12"/>
  <c r="M190" i="12" s="1"/>
  <c r="O191" i="12"/>
  <c r="O190" i="12" s="1"/>
  <c r="Q191" i="12"/>
  <c r="Q190" i="12" s="1"/>
  <c r="V191" i="12"/>
  <c r="G192" i="12"/>
  <c r="G193" i="12"/>
  <c r="I193" i="12"/>
  <c r="I192" i="12" s="1"/>
  <c r="K193" i="12"/>
  <c r="K192" i="12" s="1"/>
  <c r="M193" i="12"/>
  <c r="O193" i="12"/>
  <c r="Q193" i="12"/>
  <c r="Q192" i="12" s="1"/>
  <c r="V193" i="12"/>
  <c r="V192" i="12" s="1"/>
  <c r="G200" i="12"/>
  <c r="I200" i="12"/>
  <c r="K200" i="12"/>
  <c r="M200" i="12"/>
  <c r="O200" i="12"/>
  <c r="Q200" i="12"/>
  <c r="V200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O192" i="12" s="1"/>
  <c r="Q208" i="12"/>
  <c r="V208" i="12"/>
  <c r="G209" i="12"/>
  <c r="I209" i="12"/>
  <c r="K209" i="12"/>
  <c r="M209" i="12"/>
  <c r="O209" i="12"/>
  <c r="Q209" i="12"/>
  <c r="V209" i="12"/>
  <c r="G210" i="12"/>
  <c r="I210" i="12"/>
  <c r="K210" i="12"/>
  <c r="M210" i="12"/>
  <c r="O210" i="12"/>
  <c r="Q210" i="12"/>
  <c r="V210" i="12"/>
  <c r="G211" i="12"/>
  <c r="I211" i="12"/>
  <c r="K211" i="12"/>
  <c r="M211" i="12"/>
  <c r="O211" i="12"/>
  <c r="Q211" i="12"/>
  <c r="V211" i="12"/>
  <c r="G212" i="12"/>
  <c r="G213" i="12"/>
  <c r="I213" i="12"/>
  <c r="I212" i="12" s="1"/>
  <c r="K213" i="12"/>
  <c r="K212" i="12" s="1"/>
  <c r="M213" i="12"/>
  <c r="O213" i="12"/>
  <c r="Q213" i="12"/>
  <c r="Q212" i="12" s="1"/>
  <c r="V213" i="12"/>
  <c r="V212" i="12" s="1"/>
  <c r="G223" i="12"/>
  <c r="I223" i="12"/>
  <c r="K223" i="12"/>
  <c r="M223" i="12"/>
  <c r="O223" i="12"/>
  <c r="Q223" i="12"/>
  <c r="V223" i="12"/>
  <c r="G239" i="12"/>
  <c r="I239" i="12"/>
  <c r="K239" i="12"/>
  <c r="M239" i="12"/>
  <c r="O239" i="12"/>
  <c r="Q239" i="12"/>
  <c r="V239" i="12"/>
  <c r="G249" i="12"/>
  <c r="M249" i="12" s="1"/>
  <c r="I249" i="12"/>
  <c r="K249" i="12"/>
  <c r="O249" i="12"/>
  <c r="O212" i="12" s="1"/>
  <c r="Q249" i="12"/>
  <c r="V249" i="12"/>
  <c r="G253" i="12"/>
  <c r="I253" i="12"/>
  <c r="K253" i="12"/>
  <c r="M253" i="12"/>
  <c r="O253" i="12"/>
  <c r="Q253" i="12"/>
  <c r="V253" i="12"/>
  <c r="G256" i="12"/>
  <c r="I256" i="12"/>
  <c r="K256" i="12"/>
  <c r="M256" i="12"/>
  <c r="O256" i="12"/>
  <c r="Q256" i="12"/>
  <c r="V256" i="12"/>
  <c r="G257" i="12"/>
  <c r="I257" i="12"/>
  <c r="K257" i="12"/>
  <c r="M257" i="12"/>
  <c r="O257" i="12"/>
  <c r="Q257" i="12"/>
  <c r="V257" i="12"/>
  <c r="G265" i="12"/>
  <c r="M265" i="12" s="1"/>
  <c r="I265" i="12"/>
  <c r="K265" i="12"/>
  <c r="O265" i="12"/>
  <c r="Q265" i="12"/>
  <c r="V265" i="12"/>
  <c r="G273" i="12"/>
  <c r="I273" i="12"/>
  <c r="K273" i="12"/>
  <c r="M273" i="12"/>
  <c r="O273" i="12"/>
  <c r="Q273" i="12"/>
  <c r="V273" i="12"/>
  <c r="G281" i="12"/>
  <c r="I281" i="12"/>
  <c r="K281" i="12"/>
  <c r="M281" i="12"/>
  <c r="O281" i="12"/>
  <c r="Q281" i="12"/>
  <c r="V281" i="12"/>
  <c r="G289" i="12"/>
  <c r="I289" i="12"/>
  <c r="K289" i="12"/>
  <c r="M289" i="12"/>
  <c r="O289" i="12"/>
  <c r="Q289" i="12"/>
  <c r="V289" i="12"/>
  <c r="G299" i="12"/>
  <c r="M299" i="12" s="1"/>
  <c r="I299" i="12"/>
  <c r="K299" i="12"/>
  <c r="O299" i="12"/>
  <c r="Q299" i="12"/>
  <c r="V299" i="12"/>
  <c r="G314" i="12"/>
  <c r="I314" i="12"/>
  <c r="K314" i="12"/>
  <c r="M314" i="12"/>
  <c r="O314" i="12"/>
  <c r="Q314" i="12"/>
  <c r="V314" i="12"/>
  <c r="G322" i="12"/>
  <c r="I322" i="12"/>
  <c r="K322" i="12"/>
  <c r="M322" i="12"/>
  <c r="O322" i="12"/>
  <c r="Q322" i="12"/>
  <c r="V322" i="12"/>
  <c r="G330" i="12"/>
  <c r="I330" i="12"/>
  <c r="K330" i="12"/>
  <c r="M330" i="12"/>
  <c r="O330" i="12"/>
  <c r="Q330" i="12"/>
  <c r="V330" i="12"/>
  <c r="G367" i="12"/>
  <c r="M367" i="12" s="1"/>
  <c r="I367" i="12"/>
  <c r="K367" i="12"/>
  <c r="O367" i="12"/>
  <c r="Q367" i="12"/>
  <c r="V367" i="12"/>
  <c r="G402" i="12"/>
  <c r="I402" i="12"/>
  <c r="K402" i="12"/>
  <c r="M402" i="12"/>
  <c r="O402" i="12"/>
  <c r="Q402" i="12"/>
  <c r="V402" i="12"/>
  <c r="K403" i="12"/>
  <c r="V403" i="12"/>
  <c r="G404" i="12"/>
  <c r="G403" i="12" s="1"/>
  <c r="I404" i="12"/>
  <c r="I403" i="12" s="1"/>
  <c r="K404" i="12"/>
  <c r="M404" i="12"/>
  <c r="M403" i="12" s="1"/>
  <c r="O404" i="12"/>
  <c r="O403" i="12" s="1"/>
  <c r="Q404" i="12"/>
  <c r="Q403" i="12" s="1"/>
  <c r="V404" i="12"/>
  <c r="G406" i="12"/>
  <c r="I406" i="12"/>
  <c r="I405" i="12" s="1"/>
  <c r="K406" i="12"/>
  <c r="K405" i="12" s="1"/>
  <c r="M406" i="12"/>
  <c r="O406" i="12"/>
  <c r="Q406" i="12"/>
  <c r="Q405" i="12" s="1"/>
  <c r="V406" i="12"/>
  <c r="V405" i="12" s="1"/>
  <c r="G411" i="12"/>
  <c r="I411" i="12"/>
  <c r="K411" i="12"/>
  <c r="M411" i="12"/>
  <c r="O411" i="12"/>
  <c r="Q411" i="12"/>
  <c r="V411" i="12"/>
  <c r="G412" i="12"/>
  <c r="I412" i="12"/>
  <c r="K412" i="12"/>
  <c r="M412" i="12"/>
  <c r="O412" i="12"/>
  <c r="Q412" i="12"/>
  <c r="V412" i="12"/>
  <c r="G413" i="12"/>
  <c r="M413" i="12" s="1"/>
  <c r="I413" i="12"/>
  <c r="K413" i="12"/>
  <c r="O413" i="12"/>
  <c r="O405" i="12" s="1"/>
  <c r="Q413" i="12"/>
  <c r="V413" i="12"/>
  <c r="G414" i="12"/>
  <c r="I414" i="12"/>
  <c r="K414" i="12"/>
  <c r="M414" i="12"/>
  <c r="O414" i="12"/>
  <c r="Q414" i="12"/>
  <c r="V414" i="12"/>
  <c r="G421" i="12"/>
  <c r="I421" i="12"/>
  <c r="K421" i="12"/>
  <c r="M421" i="12"/>
  <c r="O421" i="12"/>
  <c r="Q421" i="12"/>
  <c r="V421" i="12"/>
  <c r="G423" i="12"/>
  <c r="G422" i="12" s="1"/>
  <c r="I423" i="12"/>
  <c r="I422" i="12" s="1"/>
  <c r="K423" i="12"/>
  <c r="K422" i="12" s="1"/>
  <c r="O423" i="12"/>
  <c r="O422" i="12" s="1"/>
  <c r="Q423" i="12"/>
  <c r="Q422" i="12" s="1"/>
  <c r="V423" i="12"/>
  <c r="V422" i="12" s="1"/>
  <c r="G426" i="12"/>
  <c r="I426" i="12"/>
  <c r="K426" i="12"/>
  <c r="M426" i="12"/>
  <c r="O426" i="12"/>
  <c r="Q426" i="12"/>
  <c r="V426" i="12"/>
  <c r="G437" i="12"/>
  <c r="I437" i="12"/>
  <c r="K437" i="12"/>
  <c r="M437" i="12"/>
  <c r="O437" i="12"/>
  <c r="Q437" i="12"/>
  <c r="V437" i="12"/>
  <c r="G439" i="12"/>
  <c r="I439" i="12"/>
  <c r="K439" i="12"/>
  <c r="M439" i="12"/>
  <c r="O439" i="12"/>
  <c r="Q439" i="12"/>
  <c r="V439" i="12"/>
  <c r="I441" i="12"/>
  <c r="K441" i="12"/>
  <c r="K440" i="12" s="1"/>
  <c r="O441" i="12"/>
  <c r="Q441" i="12"/>
  <c r="V441" i="12"/>
  <c r="V440" i="12" s="1"/>
  <c r="G442" i="12"/>
  <c r="I442" i="12"/>
  <c r="K442" i="12"/>
  <c r="O442" i="12"/>
  <c r="O440" i="12" s="1"/>
  <c r="Q442" i="12"/>
  <c r="V442" i="12"/>
  <c r="G444" i="12"/>
  <c r="G443" i="12" s="1"/>
  <c r="I444" i="12"/>
  <c r="I443" i="12" s="1"/>
  <c r="K444" i="12"/>
  <c r="K443" i="12" s="1"/>
  <c r="O444" i="12"/>
  <c r="O443" i="12" s="1"/>
  <c r="Q444" i="12"/>
  <c r="Q443" i="12" s="1"/>
  <c r="V444" i="12"/>
  <c r="V443" i="12" s="1"/>
  <c r="G445" i="12"/>
  <c r="I445" i="12"/>
  <c r="K445" i="12"/>
  <c r="M445" i="12"/>
  <c r="O445" i="12"/>
  <c r="Q445" i="12"/>
  <c r="V445" i="12"/>
  <c r="G447" i="12"/>
  <c r="I447" i="12"/>
  <c r="K447" i="12"/>
  <c r="M447" i="12"/>
  <c r="O447" i="12"/>
  <c r="Q447" i="12"/>
  <c r="V447" i="12"/>
  <c r="G449" i="12"/>
  <c r="I449" i="12"/>
  <c r="K449" i="12"/>
  <c r="M449" i="12"/>
  <c r="O449" i="12"/>
  <c r="Q449" i="12"/>
  <c r="V449" i="12"/>
  <c r="G451" i="12"/>
  <c r="M451" i="12" s="1"/>
  <c r="I451" i="12"/>
  <c r="K451" i="12"/>
  <c r="O451" i="12"/>
  <c r="Q451" i="12"/>
  <c r="V451" i="12"/>
  <c r="G453" i="12"/>
  <c r="I453" i="12"/>
  <c r="K453" i="12"/>
  <c r="M453" i="12"/>
  <c r="O453" i="12"/>
  <c r="Q453" i="12"/>
  <c r="V453" i="12"/>
  <c r="G455" i="12"/>
  <c r="I455" i="12"/>
  <c r="K455" i="12"/>
  <c r="M455" i="12"/>
  <c r="O455" i="12"/>
  <c r="Q455" i="12"/>
  <c r="V455" i="12"/>
  <c r="G457" i="12"/>
  <c r="I457" i="12"/>
  <c r="K457" i="12"/>
  <c r="O457" i="12"/>
  <c r="Q457" i="12"/>
  <c r="V457" i="12"/>
  <c r="G459" i="12"/>
  <c r="I459" i="12"/>
  <c r="K459" i="12"/>
  <c r="M459" i="12"/>
  <c r="O459" i="12"/>
  <c r="Q459" i="12"/>
  <c r="V459" i="12"/>
  <c r="G460" i="12"/>
  <c r="I460" i="12"/>
  <c r="K460" i="12"/>
  <c r="M460" i="12"/>
  <c r="O460" i="12"/>
  <c r="Q460" i="12"/>
  <c r="V460" i="12"/>
  <c r="G461" i="12"/>
  <c r="I461" i="12"/>
  <c r="K461" i="12"/>
  <c r="M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I463" i="12"/>
  <c r="K463" i="12"/>
  <c r="M463" i="12"/>
  <c r="O463" i="12"/>
  <c r="Q463" i="12"/>
  <c r="V463" i="12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O466" i="12"/>
  <c r="I467" i="12"/>
  <c r="I466" i="12" s="1"/>
  <c r="K467" i="12"/>
  <c r="K466" i="12" s="1"/>
  <c r="O467" i="12"/>
  <c r="Q467" i="12"/>
  <c r="Q466" i="12" s="1"/>
  <c r="V467" i="12"/>
  <c r="V466" i="12" s="1"/>
  <c r="G469" i="12"/>
  <c r="I469" i="12"/>
  <c r="K469" i="12"/>
  <c r="M469" i="12"/>
  <c r="O469" i="12"/>
  <c r="Q469" i="12"/>
  <c r="V469" i="12"/>
  <c r="G476" i="12"/>
  <c r="M476" i="12" s="1"/>
  <c r="I476" i="12"/>
  <c r="K476" i="12"/>
  <c r="O476" i="12"/>
  <c r="Q476" i="12"/>
  <c r="V476" i="12"/>
  <c r="G490" i="12"/>
  <c r="I490" i="12"/>
  <c r="K490" i="12"/>
  <c r="M490" i="12"/>
  <c r="O490" i="12"/>
  <c r="Q490" i="12"/>
  <c r="V490" i="12"/>
  <c r="G491" i="12"/>
  <c r="I491" i="12"/>
  <c r="K491" i="12"/>
  <c r="K468" i="12" s="1"/>
  <c r="M491" i="12"/>
  <c r="O491" i="12"/>
  <c r="Q491" i="12"/>
  <c r="V491" i="12"/>
  <c r="V468" i="12" s="1"/>
  <c r="G492" i="12"/>
  <c r="I492" i="12"/>
  <c r="K492" i="12"/>
  <c r="M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I494" i="12"/>
  <c r="K494" i="12"/>
  <c r="M494" i="12"/>
  <c r="O494" i="12"/>
  <c r="Q494" i="12"/>
  <c r="V494" i="12"/>
  <c r="G495" i="12"/>
  <c r="I495" i="12"/>
  <c r="K495" i="12"/>
  <c r="M495" i="12"/>
  <c r="O495" i="12"/>
  <c r="Q495" i="12"/>
  <c r="V495" i="12"/>
  <c r="G496" i="12"/>
  <c r="I496" i="12"/>
  <c r="K496" i="12"/>
  <c r="M496" i="12"/>
  <c r="O496" i="12"/>
  <c r="Q496" i="12"/>
  <c r="V496" i="12"/>
  <c r="G501" i="12"/>
  <c r="M501" i="12" s="1"/>
  <c r="I501" i="12"/>
  <c r="K501" i="12"/>
  <c r="O501" i="12"/>
  <c r="Q501" i="12"/>
  <c r="V501" i="12"/>
  <c r="G504" i="12"/>
  <c r="I504" i="12"/>
  <c r="K504" i="12"/>
  <c r="M504" i="12"/>
  <c r="O504" i="12"/>
  <c r="Q504" i="12"/>
  <c r="V504" i="12"/>
  <c r="G509" i="12"/>
  <c r="I509" i="12"/>
  <c r="K509" i="12"/>
  <c r="M509" i="12"/>
  <c r="O509" i="12"/>
  <c r="Q509" i="12"/>
  <c r="V509" i="12"/>
  <c r="G511" i="12"/>
  <c r="I511" i="12"/>
  <c r="K511" i="12"/>
  <c r="K510" i="12" s="1"/>
  <c r="O511" i="12"/>
  <c r="O510" i="12" s="1"/>
  <c r="Q511" i="12"/>
  <c r="V511" i="12"/>
  <c r="V510" i="12" s="1"/>
  <c r="G512" i="12"/>
  <c r="I512" i="12"/>
  <c r="K512" i="12"/>
  <c r="M512" i="12"/>
  <c r="O512" i="12"/>
  <c r="Q512" i="12"/>
  <c r="V512" i="12"/>
  <c r="V513" i="12"/>
  <c r="G514" i="12"/>
  <c r="G513" i="12" s="1"/>
  <c r="I514" i="12"/>
  <c r="K514" i="12"/>
  <c r="M514" i="12"/>
  <c r="O514" i="12"/>
  <c r="O513" i="12" s="1"/>
  <c r="Q514" i="12"/>
  <c r="V514" i="12"/>
  <c r="G519" i="12"/>
  <c r="M519" i="12" s="1"/>
  <c r="I519" i="12"/>
  <c r="K519" i="12"/>
  <c r="O519" i="12"/>
  <c r="Q519" i="12"/>
  <c r="V519" i="12"/>
  <c r="G538" i="12"/>
  <c r="I538" i="12"/>
  <c r="K538" i="12"/>
  <c r="M538" i="12"/>
  <c r="O538" i="12"/>
  <c r="Q538" i="12"/>
  <c r="V538" i="12"/>
  <c r="G539" i="12"/>
  <c r="I539" i="12"/>
  <c r="K539" i="12"/>
  <c r="K513" i="12" s="1"/>
  <c r="M539" i="12"/>
  <c r="O539" i="12"/>
  <c r="Q539" i="12"/>
  <c r="V539" i="12"/>
  <c r="G546" i="12"/>
  <c r="I546" i="12"/>
  <c r="K546" i="12"/>
  <c r="M546" i="12"/>
  <c r="O546" i="12"/>
  <c r="Q546" i="12"/>
  <c r="V546" i="12"/>
  <c r="G553" i="12"/>
  <c r="M553" i="12" s="1"/>
  <c r="I553" i="12"/>
  <c r="K553" i="12"/>
  <c r="O553" i="12"/>
  <c r="Q553" i="12"/>
  <c r="V553" i="12"/>
  <c r="G555" i="12"/>
  <c r="I555" i="12"/>
  <c r="K555" i="12"/>
  <c r="M555" i="12"/>
  <c r="O555" i="12"/>
  <c r="Q555" i="12"/>
  <c r="V555" i="12"/>
  <c r="G557" i="12"/>
  <c r="I557" i="12"/>
  <c r="K557" i="12"/>
  <c r="M557" i="12"/>
  <c r="O557" i="12"/>
  <c r="Q557" i="12"/>
  <c r="V557" i="12"/>
  <c r="G559" i="12"/>
  <c r="I559" i="12"/>
  <c r="I558" i="12" s="1"/>
  <c r="K559" i="12"/>
  <c r="O559" i="12"/>
  <c r="Q559" i="12"/>
  <c r="Q558" i="12" s="1"/>
  <c r="V559" i="12"/>
  <c r="V558" i="12" s="1"/>
  <c r="G588" i="12"/>
  <c r="I588" i="12"/>
  <c r="K588" i="12"/>
  <c r="M588" i="12"/>
  <c r="O588" i="12"/>
  <c r="Q588" i="12"/>
  <c r="V588" i="12"/>
  <c r="G616" i="12"/>
  <c r="I616" i="12"/>
  <c r="K616" i="12"/>
  <c r="M616" i="12"/>
  <c r="O616" i="12"/>
  <c r="Q616" i="12"/>
  <c r="V616" i="12"/>
  <c r="G647" i="12"/>
  <c r="I647" i="12"/>
  <c r="K647" i="12"/>
  <c r="M647" i="12"/>
  <c r="O647" i="12"/>
  <c r="Q647" i="12"/>
  <c r="V647" i="12"/>
  <c r="G657" i="12"/>
  <c r="M657" i="12" s="1"/>
  <c r="I657" i="12"/>
  <c r="K657" i="12"/>
  <c r="O657" i="12"/>
  <c r="Q657" i="12"/>
  <c r="V657" i="12"/>
  <c r="G659" i="12"/>
  <c r="I659" i="12"/>
  <c r="K659" i="12"/>
  <c r="M659" i="12"/>
  <c r="O659" i="12"/>
  <c r="Q659" i="12"/>
  <c r="V659" i="12"/>
  <c r="G661" i="12"/>
  <c r="I661" i="12"/>
  <c r="K661" i="12"/>
  <c r="M661" i="12"/>
  <c r="O661" i="12"/>
  <c r="Q661" i="12"/>
  <c r="V661" i="12"/>
  <c r="G663" i="12"/>
  <c r="I663" i="12"/>
  <c r="I662" i="12" s="1"/>
  <c r="K663" i="12"/>
  <c r="K662" i="12" s="1"/>
  <c r="O663" i="12"/>
  <c r="O662" i="12" s="1"/>
  <c r="Q663" i="12"/>
  <c r="Q662" i="12" s="1"/>
  <c r="V663" i="12"/>
  <c r="V662" i="12" s="1"/>
  <c r="G683" i="12"/>
  <c r="I683" i="12"/>
  <c r="K683" i="12"/>
  <c r="M683" i="12"/>
  <c r="O683" i="12"/>
  <c r="Q683" i="12"/>
  <c r="V683" i="12"/>
  <c r="G685" i="12"/>
  <c r="I685" i="12"/>
  <c r="K685" i="12"/>
  <c r="M685" i="12"/>
  <c r="O685" i="12"/>
  <c r="Q685" i="12"/>
  <c r="V685" i="12"/>
  <c r="G704" i="12"/>
  <c r="M704" i="12" s="1"/>
  <c r="I704" i="12"/>
  <c r="K704" i="12"/>
  <c r="O704" i="12"/>
  <c r="Q704" i="12"/>
  <c r="V704" i="12"/>
  <c r="G713" i="12"/>
  <c r="I713" i="12"/>
  <c r="K713" i="12"/>
  <c r="M713" i="12"/>
  <c r="O713" i="12"/>
  <c r="Q713" i="12"/>
  <c r="V713" i="12"/>
  <c r="G714" i="12"/>
  <c r="I714" i="12"/>
  <c r="K714" i="12"/>
  <c r="K684" i="12" s="1"/>
  <c r="M714" i="12"/>
  <c r="O714" i="12"/>
  <c r="Q714" i="12"/>
  <c r="V714" i="12"/>
  <c r="V684" i="12" s="1"/>
  <c r="G715" i="12"/>
  <c r="I715" i="12"/>
  <c r="K715" i="12"/>
  <c r="M715" i="12"/>
  <c r="O715" i="12"/>
  <c r="Q715" i="12"/>
  <c r="V715" i="12"/>
  <c r="G716" i="12"/>
  <c r="M716" i="12" s="1"/>
  <c r="I716" i="12"/>
  <c r="K716" i="12"/>
  <c r="O716" i="12"/>
  <c r="Q716" i="12"/>
  <c r="V716" i="12"/>
  <c r="G717" i="12"/>
  <c r="I717" i="12"/>
  <c r="K717" i="12"/>
  <c r="M717" i="12"/>
  <c r="O717" i="12"/>
  <c r="Q717" i="12"/>
  <c r="V717" i="12"/>
  <c r="I719" i="12"/>
  <c r="K719" i="12"/>
  <c r="O719" i="12"/>
  <c r="O718" i="12" s="1"/>
  <c r="Q719" i="12"/>
  <c r="Q718" i="12" s="1"/>
  <c r="V719" i="12"/>
  <c r="G720" i="12"/>
  <c r="M720" i="12" s="1"/>
  <c r="I720" i="12"/>
  <c r="K720" i="12"/>
  <c r="K718" i="12" s="1"/>
  <c r="O720" i="12"/>
  <c r="Q720" i="12"/>
  <c r="V720" i="12"/>
  <c r="V718" i="12" s="1"/>
  <c r="I721" i="12"/>
  <c r="G722" i="12"/>
  <c r="I722" i="12"/>
  <c r="K722" i="12"/>
  <c r="K721" i="12" s="1"/>
  <c r="M722" i="12"/>
  <c r="O722" i="12"/>
  <c r="Q722" i="12"/>
  <c r="V722" i="12"/>
  <c r="V721" i="12" s="1"/>
  <c r="G725" i="12"/>
  <c r="I725" i="12"/>
  <c r="K725" i="12"/>
  <c r="M725" i="12"/>
  <c r="O725" i="12"/>
  <c r="Q725" i="12"/>
  <c r="V725" i="12"/>
  <c r="G727" i="12"/>
  <c r="M727" i="12" s="1"/>
  <c r="I727" i="12"/>
  <c r="K727" i="12"/>
  <c r="O727" i="12"/>
  <c r="Q727" i="12"/>
  <c r="V727" i="12"/>
  <c r="G737" i="12"/>
  <c r="I737" i="12"/>
  <c r="K737" i="12"/>
  <c r="M737" i="12"/>
  <c r="O737" i="12"/>
  <c r="Q737" i="12"/>
  <c r="Q721" i="12" s="1"/>
  <c r="V737" i="12"/>
  <c r="G739" i="12"/>
  <c r="I739" i="12"/>
  <c r="K739" i="12"/>
  <c r="M739" i="12"/>
  <c r="O739" i="12"/>
  <c r="Q739" i="12"/>
  <c r="V739" i="12"/>
  <c r="G741" i="12"/>
  <c r="I741" i="12"/>
  <c r="K741" i="12"/>
  <c r="M741" i="12"/>
  <c r="O741" i="12"/>
  <c r="Q741" i="12"/>
  <c r="V741" i="12"/>
  <c r="G744" i="12"/>
  <c r="M744" i="12" s="1"/>
  <c r="I744" i="12"/>
  <c r="K744" i="12"/>
  <c r="O744" i="12"/>
  <c r="Q744" i="12"/>
  <c r="V744" i="12"/>
  <c r="G746" i="12"/>
  <c r="I746" i="12"/>
  <c r="K746" i="12"/>
  <c r="M746" i="12"/>
  <c r="O746" i="12"/>
  <c r="Q746" i="12"/>
  <c r="V746" i="12"/>
  <c r="G749" i="12"/>
  <c r="I749" i="12"/>
  <c r="K749" i="12"/>
  <c r="M749" i="12"/>
  <c r="O749" i="12"/>
  <c r="Q749" i="12"/>
  <c r="V749" i="12"/>
  <c r="G750" i="12"/>
  <c r="I750" i="12"/>
  <c r="K750" i="12"/>
  <c r="M750" i="12"/>
  <c r="O750" i="12"/>
  <c r="Q750" i="12"/>
  <c r="V750" i="12"/>
  <c r="G751" i="12"/>
  <c r="M751" i="12" s="1"/>
  <c r="I751" i="12"/>
  <c r="K751" i="12"/>
  <c r="O751" i="12"/>
  <c r="Q751" i="12"/>
  <c r="V751" i="12"/>
  <c r="G752" i="12"/>
  <c r="I752" i="12"/>
  <c r="K752" i="12"/>
  <c r="M752" i="12"/>
  <c r="O752" i="12"/>
  <c r="Q752" i="12"/>
  <c r="V752" i="12"/>
  <c r="G753" i="12"/>
  <c r="I753" i="12"/>
  <c r="K753" i="12"/>
  <c r="M753" i="12"/>
  <c r="O753" i="12"/>
  <c r="Q753" i="12"/>
  <c r="V753" i="12"/>
  <c r="G754" i="12"/>
  <c r="I754" i="12"/>
  <c r="K754" i="12"/>
  <c r="M754" i="12"/>
  <c r="O754" i="12"/>
  <c r="Q754" i="12"/>
  <c r="V754" i="12"/>
  <c r="G755" i="12"/>
  <c r="M755" i="12" s="1"/>
  <c r="I755" i="12"/>
  <c r="K755" i="12"/>
  <c r="O755" i="12"/>
  <c r="Q755" i="12"/>
  <c r="V755" i="12"/>
  <c r="I756" i="12"/>
  <c r="Q756" i="12"/>
  <c r="G757" i="12"/>
  <c r="I757" i="12"/>
  <c r="K757" i="12"/>
  <c r="K756" i="12" s="1"/>
  <c r="M757" i="12"/>
  <c r="M756" i="12" s="1"/>
  <c r="O757" i="12"/>
  <c r="Q757" i="12"/>
  <c r="V757" i="12"/>
  <c r="V756" i="12" s="1"/>
  <c r="G758" i="12"/>
  <c r="G756" i="12" s="1"/>
  <c r="I758" i="12"/>
  <c r="K758" i="12"/>
  <c r="M758" i="12"/>
  <c r="O758" i="12"/>
  <c r="O756" i="12" s="1"/>
  <c r="Q758" i="12"/>
  <c r="V758" i="12"/>
  <c r="AE760" i="12"/>
  <c r="F41" i="1" s="1"/>
  <c r="I20" i="1"/>
  <c r="I19" i="1"/>
  <c r="I16" i="1"/>
  <c r="J28" i="1"/>
  <c r="J26" i="1"/>
  <c r="G38" i="1"/>
  <c r="F38" i="1"/>
  <c r="J23" i="1"/>
  <c r="J24" i="1"/>
  <c r="J25" i="1"/>
  <c r="J27" i="1"/>
  <c r="E24" i="1"/>
  <c r="E26" i="1"/>
  <c r="G2" i="14" l="1"/>
  <c r="F467" i="12" s="1"/>
  <c r="G467" i="12" s="1"/>
  <c r="AW14" i="13"/>
  <c r="I21" i="13"/>
  <c r="AX27" i="13"/>
  <c r="BH42" i="13"/>
  <c r="AD42" i="13" s="1"/>
  <c r="AT49" i="13"/>
  <c r="I64" i="13"/>
  <c r="J66" i="13"/>
  <c r="I76" i="13"/>
  <c r="I49" i="13" s="1"/>
  <c r="AW84" i="13"/>
  <c r="AW89" i="13"/>
  <c r="I91" i="13"/>
  <c r="J93" i="13"/>
  <c r="AW97" i="13"/>
  <c r="I99" i="13"/>
  <c r="J106" i="13"/>
  <c r="I113" i="13"/>
  <c r="I125" i="13"/>
  <c r="AX133" i="13"/>
  <c r="I177" i="13"/>
  <c r="AX179" i="13"/>
  <c r="I185" i="13"/>
  <c r="BH187" i="13"/>
  <c r="AD187" i="13" s="1"/>
  <c r="I196" i="13"/>
  <c r="BH198" i="13"/>
  <c r="AD198" i="13" s="1"/>
  <c r="AX206" i="13"/>
  <c r="J209" i="13"/>
  <c r="I213" i="13"/>
  <c r="AW217" i="13"/>
  <c r="AW221" i="13"/>
  <c r="BH23" i="13"/>
  <c r="AD23" i="13" s="1"/>
  <c r="AX31" i="13"/>
  <c r="BH38" i="13"/>
  <c r="AD38" i="13" s="1"/>
  <c r="AW42" i="13"/>
  <c r="AW48" i="13"/>
  <c r="AW70" i="13"/>
  <c r="AX135" i="13"/>
  <c r="AX138" i="13"/>
  <c r="AX183" i="13"/>
  <c r="AW187" i="13"/>
  <c r="AX190" i="13"/>
  <c r="AX194" i="13"/>
  <c r="AW198" i="13"/>
  <c r="BH202" i="13"/>
  <c r="AD202" i="13" s="1"/>
  <c r="J217" i="13"/>
  <c r="BH19" i="13"/>
  <c r="AD19" i="13" s="1"/>
  <c r="AW23" i="13"/>
  <c r="AW38" i="13"/>
  <c r="AV38" i="13" s="1"/>
  <c r="J42" i="13"/>
  <c r="AX42" i="13"/>
  <c r="I48" i="13"/>
  <c r="AW66" i="13"/>
  <c r="AV66" i="13" s="1"/>
  <c r="AX70" i="13"/>
  <c r="AV70" i="13" s="1"/>
  <c r="I72" i="13"/>
  <c r="J74" i="13"/>
  <c r="I81" i="13"/>
  <c r="J89" i="13"/>
  <c r="AW101" i="13"/>
  <c r="AW106" i="13"/>
  <c r="I109" i="13"/>
  <c r="J111" i="13"/>
  <c r="AW115" i="13"/>
  <c r="I117" i="13"/>
  <c r="J123" i="13"/>
  <c r="AX129" i="13"/>
  <c r="AX131" i="13"/>
  <c r="J133" i="13"/>
  <c r="BH174" i="13"/>
  <c r="AD174" i="13" s="1"/>
  <c r="AX187" i="13"/>
  <c r="I189" i="13"/>
  <c r="AX198" i="13"/>
  <c r="AW202" i="13"/>
  <c r="AV202" i="13" s="1"/>
  <c r="AS208" i="13"/>
  <c r="AX211" i="13"/>
  <c r="BC211" i="13" s="1"/>
  <c r="BI211" i="13"/>
  <c r="BH215" i="13"/>
  <c r="BH219" i="13"/>
  <c r="J221" i="13"/>
  <c r="M467" i="12"/>
  <c r="M466" i="12" s="1"/>
  <c r="G466" i="12"/>
  <c r="I63" i="1" s="1"/>
  <c r="J85" i="15"/>
  <c r="J39" i="15"/>
  <c r="J43" i="15"/>
  <c r="J44" i="15"/>
  <c r="K87" i="15"/>
  <c r="J37" i="15"/>
  <c r="J42" i="15"/>
  <c r="J103" i="15"/>
  <c r="J41" i="15" s="1"/>
  <c r="J139" i="15"/>
  <c r="J47" i="15" s="1"/>
  <c r="J40" i="15"/>
  <c r="J134" i="15"/>
  <c r="J46" i="15" s="1"/>
  <c r="BI40" i="13"/>
  <c r="AE40" i="13" s="1"/>
  <c r="AX125" i="13"/>
  <c r="J125" i="13"/>
  <c r="AT16" i="13"/>
  <c r="AV23" i="13"/>
  <c r="BC23" i="13"/>
  <c r="BI25" i="13"/>
  <c r="AE25" i="13" s="1"/>
  <c r="AV42" i="13"/>
  <c r="BC42" i="13"/>
  <c r="K49" i="13"/>
  <c r="AX76" i="13"/>
  <c r="J76" i="13"/>
  <c r="AX95" i="13"/>
  <c r="J95" i="13"/>
  <c r="AX113" i="13"/>
  <c r="J113" i="13"/>
  <c r="AU128" i="13"/>
  <c r="AW158" i="13"/>
  <c r="I158" i="13"/>
  <c r="BH158" i="13"/>
  <c r="AD158" i="13" s="1"/>
  <c r="AX109" i="13"/>
  <c r="J109" i="13"/>
  <c r="AL14" i="13"/>
  <c r="AU13" i="13" s="1"/>
  <c r="K16" i="13"/>
  <c r="AW27" i="13"/>
  <c r="BH27" i="13"/>
  <c r="AD27" i="13" s="1"/>
  <c r="BI29" i="13"/>
  <c r="AE29" i="13" s="1"/>
  <c r="AX50" i="13"/>
  <c r="J50" i="13"/>
  <c r="AV57" i="13"/>
  <c r="BC57" i="13"/>
  <c r="AX68" i="13"/>
  <c r="J68" i="13"/>
  <c r="AX81" i="13"/>
  <c r="J81" i="13"/>
  <c r="AX99" i="13"/>
  <c r="J99" i="13"/>
  <c r="AX117" i="13"/>
  <c r="J117" i="13"/>
  <c r="I183" i="13"/>
  <c r="BH183" i="13"/>
  <c r="AD183" i="13" s="1"/>
  <c r="AW183" i="13"/>
  <c r="AV19" i="13"/>
  <c r="BC19" i="13"/>
  <c r="BI21" i="13"/>
  <c r="AE21" i="13" s="1"/>
  <c r="BF23" i="13"/>
  <c r="AX64" i="13"/>
  <c r="J64" i="13"/>
  <c r="AX72" i="13"/>
  <c r="J72" i="13"/>
  <c r="AX91" i="13"/>
  <c r="J91" i="13"/>
  <c r="AU16" i="13"/>
  <c r="BI17" i="13"/>
  <c r="AE17" i="13" s="1"/>
  <c r="J21" i="13"/>
  <c r="AW31" i="13"/>
  <c r="BH31" i="13"/>
  <c r="AD31" i="13" s="1"/>
  <c r="BI35" i="13"/>
  <c r="AE35" i="13" s="1"/>
  <c r="J40" i="13"/>
  <c r="AW46" i="13"/>
  <c r="I46" i="13"/>
  <c r="I16" i="13" s="1"/>
  <c r="BH46" i="13"/>
  <c r="AD46" i="13" s="1"/>
  <c r="AS49" i="13"/>
  <c r="AL57" i="13"/>
  <c r="AU49" i="13" s="1"/>
  <c r="BI64" i="13"/>
  <c r="AE64" i="13" s="1"/>
  <c r="BI72" i="13"/>
  <c r="AE72" i="13" s="1"/>
  <c r="AX87" i="13"/>
  <c r="J87" i="13"/>
  <c r="BI91" i="13"/>
  <c r="AE91" i="13" s="1"/>
  <c r="AX103" i="13"/>
  <c r="J103" i="13"/>
  <c r="BC106" i="13"/>
  <c r="BI109" i="13"/>
  <c r="AE109" i="13" s="1"/>
  <c r="AX121" i="13"/>
  <c r="J121" i="13"/>
  <c r="AV123" i="13"/>
  <c r="BI125" i="13"/>
  <c r="AE125" i="13" s="1"/>
  <c r="AW129" i="13"/>
  <c r="I129" i="13"/>
  <c r="BH129" i="13"/>
  <c r="AD129" i="13" s="1"/>
  <c r="BF133" i="13"/>
  <c r="M128" i="13"/>
  <c r="M12" i="13" s="1"/>
  <c r="AW138" i="13"/>
  <c r="I138" i="13"/>
  <c r="BH138" i="13"/>
  <c r="AD138" i="13" s="1"/>
  <c r="AX14" i="13"/>
  <c r="AV14" i="13" s="1"/>
  <c r="AW17" i="13"/>
  <c r="AW21" i="13"/>
  <c r="AW25" i="13"/>
  <c r="AW29" i="13"/>
  <c r="AW35" i="13"/>
  <c r="AW40" i="13"/>
  <c r="AW44" i="13"/>
  <c r="AX74" i="13"/>
  <c r="AV74" i="13" s="1"/>
  <c r="AX78" i="13"/>
  <c r="AV78" i="13" s="1"/>
  <c r="AX84" i="13"/>
  <c r="AV84" i="13" s="1"/>
  <c r="AX89" i="13"/>
  <c r="AV89" i="13" s="1"/>
  <c r="AX93" i="13"/>
  <c r="AV93" i="13" s="1"/>
  <c r="AX97" i="13"/>
  <c r="AV97" i="13" s="1"/>
  <c r="AX101" i="13"/>
  <c r="AV101" i="13" s="1"/>
  <c r="AX106" i="13"/>
  <c r="AV106" i="13" s="1"/>
  <c r="AX111" i="13"/>
  <c r="BC111" i="13" s="1"/>
  <c r="AX115" i="13"/>
  <c r="AV115" i="13" s="1"/>
  <c r="AX119" i="13"/>
  <c r="AV119" i="13" s="1"/>
  <c r="AX123" i="13"/>
  <c r="BC123" i="13" s="1"/>
  <c r="AX127" i="13"/>
  <c r="AV127" i="13" s="1"/>
  <c r="I135" i="13"/>
  <c r="AW135" i="13"/>
  <c r="AW144" i="13"/>
  <c r="I144" i="13"/>
  <c r="BH144" i="13"/>
  <c r="AD144" i="13" s="1"/>
  <c r="AW152" i="13"/>
  <c r="I152" i="13"/>
  <c r="BH152" i="13"/>
  <c r="AD152" i="13" s="1"/>
  <c r="BC202" i="13"/>
  <c r="AX44" i="13"/>
  <c r="AX48" i="13"/>
  <c r="AW50" i="13"/>
  <c r="AW64" i="13"/>
  <c r="AW68" i="13"/>
  <c r="AW72" i="13"/>
  <c r="AW76" i="13"/>
  <c r="AW81" i="13"/>
  <c r="AW87" i="13"/>
  <c r="AW91" i="13"/>
  <c r="AW95" i="13"/>
  <c r="AW99" i="13"/>
  <c r="AW103" i="13"/>
  <c r="AW109" i="13"/>
  <c r="AW113" i="13"/>
  <c r="AW117" i="13"/>
  <c r="AW121" i="13"/>
  <c r="AW125" i="13"/>
  <c r="AW133" i="13"/>
  <c r="I133" i="13"/>
  <c r="BH135" i="13"/>
  <c r="AD135" i="13" s="1"/>
  <c r="AW169" i="13"/>
  <c r="I169" i="13"/>
  <c r="BH169" i="13"/>
  <c r="AD169" i="13" s="1"/>
  <c r="AV174" i="13"/>
  <c r="BC174" i="13"/>
  <c r="AX189" i="13"/>
  <c r="J189" i="13"/>
  <c r="AX204" i="13"/>
  <c r="J204" i="13"/>
  <c r="AU208" i="13"/>
  <c r="J215" i="13"/>
  <c r="BI215" i="13"/>
  <c r="AX215" i="13"/>
  <c r="BC215" i="13" s="1"/>
  <c r="I131" i="13"/>
  <c r="AW131" i="13"/>
  <c r="AW164" i="13"/>
  <c r="I164" i="13"/>
  <c r="BH164" i="13"/>
  <c r="AD164" i="13" s="1"/>
  <c r="AX177" i="13"/>
  <c r="J177" i="13"/>
  <c r="I194" i="13"/>
  <c r="BH194" i="13"/>
  <c r="AD194" i="13" s="1"/>
  <c r="AW194" i="13"/>
  <c r="AW140" i="13"/>
  <c r="AW146" i="13"/>
  <c r="AW155" i="13"/>
  <c r="AW160" i="13"/>
  <c r="AW166" i="13"/>
  <c r="AW171" i="13"/>
  <c r="AW179" i="13"/>
  <c r="BH179" i="13"/>
  <c r="AD179" i="13" s="1"/>
  <c r="BI181" i="13"/>
  <c r="AE181" i="13" s="1"/>
  <c r="J185" i="13"/>
  <c r="AW190" i="13"/>
  <c r="BH190" i="13"/>
  <c r="AD190" i="13" s="1"/>
  <c r="BI192" i="13"/>
  <c r="AE192" i="13" s="1"/>
  <c r="J196" i="13"/>
  <c r="AW206" i="13"/>
  <c r="BH206" i="13"/>
  <c r="AD206" i="13" s="1"/>
  <c r="K208" i="13"/>
  <c r="AV211" i="13"/>
  <c r="AV219" i="13"/>
  <c r="AX155" i="13"/>
  <c r="AX160" i="13"/>
  <c r="AX166" i="13"/>
  <c r="AX171" i="13"/>
  <c r="BI185" i="13"/>
  <c r="AE185" i="13" s="1"/>
  <c r="BI196" i="13"/>
  <c r="AE196" i="13" s="1"/>
  <c r="J200" i="13"/>
  <c r="BF211" i="13"/>
  <c r="M208" i="13"/>
  <c r="I215" i="13"/>
  <c r="AW223" i="13"/>
  <c r="I223" i="13"/>
  <c r="BH223" i="13"/>
  <c r="AV187" i="13"/>
  <c r="BC187" i="13"/>
  <c r="AV198" i="13"/>
  <c r="BC198" i="13"/>
  <c r="BI200" i="13"/>
  <c r="AE200" i="13" s="1"/>
  <c r="AV215" i="13"/>
  <c r="AW177" i="13"/>
  <c r="AW181" i="13"/>
  <c r="AW185" i="13"/>
  <c r="AW189" i="13"/>
  <c r="AW192" i="13"/>
  <c r="AW196" i="13"/>
  <c r="AW200" i="13"/>
  <c r="AW204" i="13"/>
  <c r="AX209" i="13"/>
  <c r="BC209" i="13" s="1"/>
  <c r="AX213" i="13"/>
  <c r="AV213" i="13" s="1"/>
  <c r="AX217" i="13"/>
  <c r="AX221" i="13"/>
  <c r="AV221" i="13" s="1"/>
  <c r="I718" i="12"/>
  <c r="F40" i="1"/>
  <c r="Q440" i="12"/>
  <c r="I440" i="12"/>
  <c r="F39" i="1"/>
  <c r="M442" i="12"/>
  <c r="G468" i="12"/>
  <c r="V456" i="12"/>
  <c r="I456" i="12"/>
  <c r="O721" i="12"/>
  <c r="G721" i="12"/>
  <c r="O684" i="12"/>
  <c r="G684" i="12"/>
  <c r="O558" i="12"/>
  <c r="I510" i="12"/>
  <c r="M468" i="12"/>
  <c r="Q456" i="12"/>
  <c r="G456" i="12"/>
  <c r="I62" i="1" s="1"/>
  <c r="M457" i="12"/>
  <c r="M456" i="12" s="1"/>
  <c r="M405" i="12"/>
  <c r="M212" i="12"/>
  <c r="Q684" i="12"/>
  <c r="I684" i="12"/>
  <c r="G662" i="12"/>
  <c r="M663" i="12"/>
  <c r="M662" i="12" s="1"/>
  <c r="G558" i="12"/>
  <c r="M559" i="12"/>
  <c r="M558" i="12" s="1"/>
  <c r="M513" i="12"/>
  <c r="O468" i="12"/>
  <c r="M721" i="12"/>
  <c r="M684" i="12"/>
  <c r="K558" i="12"/>
  <c r="Q513" i="12"/>
  <c r="I513" i="12"/>
  <c r="Q510" i="12"/>
  <c r="G510" i="12"/>
  <c r="M511" i="12"/>
  <c r="M510" i="12" s="1"/>
  <c r="O456" i="12"/>
  <c r="M192" i="12"/>
  <c r="Q468" i="12"/>
  <c r="I468" i="12"/>
  <c r="K456" i="12"/>
  <c r="G405" i="12"/>
  <c r="M444" i="12"/>
  <c r="M443" i="12" s="1"/>
  <c r="M423" i="12"/>
  <c r="M422" i="12" s="1"/>
  <c r="M184" i="12"/>
  <c r="M183" i="12" s="1"/>
  <c r="M164" i="12"/>
  <c r="M163" i="12" s="1"/>
  <c r="M117" i="12"/>
  <c r="M116" i="12" s="1"/>
  <c r="M9" i="12"/>
  <c r="M8" i="12" s="1"/>
  <c r="K225" i="13" l="1"/>
  <c r="BC217" i="13"/>
  <c r="BC221" i="13"/>
  <c r="BC89" i="13"/>
  <c r="BC70" i="13"/>
  <c r="I208" i="13"/>
  <c r="J128" i="13"/>
  <c r="BC66" i="13"/>
  <c r="BC38" i="13"/>
  <c r="J208" i="13"/>
  <c r="AV209" i="13"/>
  <c r="J16" i="13"/>
  <c r="J72" i="15"/>
  <c r="J38" i="15"/>
  <c r="J36" i="15" s="1"/>
  <c r="E19" i="15" s="1"/>
  <c r="AV179" i="13"/>
  <c r="BC179" i="13"/>
  <c r="BC155" i="13"/>
  <c r="AV155" i="13"/>
  <c r="AV121" i="13"/>
  <c r="BC121" i="13"/>
  <c r="AV87" i="13"/>
  <c r="BC87" i="13"/>
  <c r="AV29" i="13"/>
  <c r="BC29" i="13"/>
  <c r="BC129" i="13"/>
  <c r="AV129" i="13"/>
  <c r="AV27" i="13"/>
  <c r="BC27" i="13"/>
  <c r="BC93" i="13"/>
  <c r="BC127" i="13"/>
  <c r="AV196" i="13"/>
  <c r="BC196" i="13"/>
  <c r="BC181" i="13"/>
  <c r="AV181" i="13"/>
  <c r="BC171" i="13"/>
  <c r="AV171" i="13"/>
  <c r="BC146" i="13"/>
  <c r="AV146" i="13"/>
  <c r="AV217" i="13"/>
  <c r="AV117" i="13"/>
  <c r="BC117" i="13"/>
  <c r="AV99" i="13"/>
  <c r="BC99" i="13"/>
  <c r="AV81" i="13"/>
  <c r="BC81" i="13"/>
  <c r="AV64" i="13"/>
  <c r="BC64" i="13"/>
  <c r="AV144" i="13"/>
  <c r="BC144" i="13"/>
  <c r="BC44" i="13"/>
  <c r="AV44" i="13"/>
  <c r="BC25" i="13"/>
  <c r="AV25" i="13"/>
  <c r="BC119" i="13"/>
  <c r="BC101" i="13"/>
  <c r="BC84" i="13"/>
  <c r="AV111" i="13"/>
  <c r="AV185" i="13"/>
  <c r="BC185" i="13"/>
  <c r="AV206" i="13"/>
  <c r="BC206" i="13"/>
  <c r="BC192" i="13"/>
  <c r="AV192" i="13"/>
  <c r="BC177" i="13"/>
  <c r="AV177" i="13"/>
  <c r="BC213" i="13"/>
  <c r="BC166" i="13"/>
  <c r="AV166" i="13"/>
  <c r="BC140" i="13"/>
  <c r="AV140" i="13"/>
  <c r="AV164" i="13"/>
  <c r="BC164" i="13"/>
  <c r="BC133" i="13"/>
  <c r="AV133" i="13"/>
  <c r="AV113" i="13"/>
  <c r="BC113" i="13"/>
  <c r="AV95" i="13"/>
  <c r="BC95" i="13"/>
  <c r="AV76" i="13"/>
  <c r="BC76" i="13"/>
  <c r="AV50" i="13"/>
  <c r="BC50" i="13"/>
  <c r="AV152" i="13"/>
  <c r="BC152" i="13"/>
  <c r="BC135" i="13"/>
  <c r="AV135" i="13"/>
  <c r="BC40" i="13"/>
  <c r="AV40" i="13"/>
  <c r="BC21" i="13"/>
  <c r="AV21" i="13"/>
  <c r="AV46" i="13"/>
  <c r="BC46" i="13"/>
  <c r="AV31" i="13"/>
  <c r="BC31" i="13"/>
  <c r="AV183" i="13"/>
  <c r="BC183" i="13"/>
  <c r="K12" i="13"/>
  <c r="F441" i="12" s="1"/>
  <c r="G441" i="12" s="1"/>
  <c r="AV158" i="13"/>
  <c r="BC158" i="13"/>
  <c r="BC115" i="13"/>
  <c r="BC97" i="13"/>
  <c r="BC78" i="13"/>
  <c r="BC74" i="13"/>
  <c r="BC200" i="13"/>
  <c r="AV200" i="13"/>
  <c r="AV190" i="13"/>
  <c r="BC190" i="13"/>
  <c r="AV103" i="13"/>
  <c r="BC103" i="13"/>
  <c r="AV68" i="13"/>
  <c r="BC68" i="13"/>
  <c r="BC204" i="13"/>
  <c r="AV204" i="13"/>
  <c r="BC189" i="13"/>
  <c r="AV189" i="13"/>
  <c r="AV223" i="13"/>
  <c r="BC223" i="13"/>
  <c r="BC160" i="13"/>
  <c r="AV160" i="13"/>
  <c r="AV194" i="13"/>
  <c r="BC194" i="13"/>
  <c r="BC131" i="13"/>
  <c r="AV131" i="13"/>
  <c r="AV169" i="13"/>
  <c r="BC169" i="13"/>
  <c r="AV125" i="13"/>
  <c r="BC125" i="13"/>
  <c r="AV109" i="13"/>
  <c r="BC109" i="13"/>
  <c r="AV91" i="13"/>
  <c r="BC91" i="13"/>
  <c r="AV72" i="13"/>
  <c r="BC72" i="13"/>
  <c r="BC48" i="13"/>
  <c r="AV48" i="13"/>
  <c r="BC35" i="13"/>
  <c r="AV35" i="13"/>
  <c r="AV17" i="13"/>
  <c r="BC17" i="13"/>
  <c r="BC138" i="13"/>
  <c r="AV138" i="13"/>
  <c r="I128" i="13"/>
  <c r="J49" i="13"/>
  <c r="BC14" i="13"/>
  <c r="F42" i="1"/>
  <c r="I12" i="13" l="1"/>
  <c r="J12" i="13"/>
  <c r="M441" i="12"/>
  <c r="M440" i="12" s="1"/>
  <c r="G440" i="12"/>
  <c r="I60" i="1" s="1"/>
  <c r="I17" i="1" s="1"/>
  <c r="F719" i="12"/>
  <c r="G719" i="12" s="1"/>
  <c r="M719" i="12" s="1"/>
  <c r="M718" i="12" s="1"/>
  <c r="AF760" i="12"/>
  <c r="G23" i="1"/>
  <c r="A23" i="1" s="1"/>
  <c r="G24" i="1" s="1"/>
  <c r="G718" i="12" l="1"/>
  <c r="I70" i="1" s="1"/>
  <c r="G41" i="1"/>
  <c r="H41" i="1" s="1"/>
  <c r="I41" i="1" s="1"/>
  <c r="G39" i="1"/>
  <c r="G40" i="1"/>
  <c r="H40" i="1" s="1"/>
  <c r="I40" i="1" s="1"/>
  <c r="A24" i="1"/>
  <c r="G760" i="12" l="1"/>
  <c r="G42" i="1"/>
  <c r="H39" i="1"/>
  <c r="I18" i="1"/>
  <c r="I21" i="1" s="1"/>
  <c r="I73" i="1"/>
  <c r="I39" i="1" l="1"/>
  <c r="I42" i="1" s="1"/>
  <c r="H42" i="1"/>
  <c r="J58" i="1"/>
  <c r="J62" i="1"/>
  <c r="J59" i="1"/>
  <c r="J56" i="1"/>
  <c r="J66" i="1"/>
  <c r="J63" i="1"/>
  <c r="J60" i="1"/>
  <c r="J53" i="1"/>
  <c r="J67" i="1"/>
  <c r="J51" i="1"/>
  <c r="J50" i="1"/>
  <c r="J71" i="1"/>
  <c r="J54" i="1"/>
  <c r="J64" i="1"/>
  <c r="J61" i="1"/>
  <c r="J68" i="1"/>
  <c r="J49" i="1"/>
  <c r="J57" i="1"/>
  <c r="J52" i="1"/>
  <c r="J72" i="1"/>
  <c r="J65" i="1"/>
  <c r="J70" i="1"/>
  <c r="J69" i="1"/>
  <c r="J55" i="1"/>
  <c r="G25" i="1"/>
  <c r="G28" i="1"/>
  <c r="J73" i="1" l="1"/>
  <c r="A25" i="1"/>
  <c r="J40" i="1"/>
  <c r="J41" i="1"/>
  <c r="J39" i="1"/>
  <c r="J42" i="1" s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17977349-D734-448F-814A-E63C0EFA18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4D58CD-B92C-48D4-BCBF-B780E742D7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<sst xmlns="http://schemas.openxmlformats.org/spreadsheetml/2006/main" count="4186" uniqueCount="1237">
  <si>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</si>
  <si>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</si>
  <si>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</si>
  <si>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</si>
  <si>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</si>
  <si>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</si>
  <si>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</si>
  <si>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</si>
  <si>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</si>
  <si>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</si>
  <si>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</si>
  <si>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</si>
  <si>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</si>
  <si>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</si>
  <si>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</si>
  <si>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</si>
  <si>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</si>
  <si>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</si>
  <si>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</si>
  <si>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</si>
  <si>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</si>
  <si>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</si>
  <si>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</si>
  <si>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</si>
  <si>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</si>
  <si>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</si>
  <si>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</si>
  <si>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</si>
  <si>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</si>
  <si>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</si>
  <si>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</si>
  <si>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</si>
  <si>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</si>
  <si>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</si>
  <si>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</si>
  <si>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</si>
  <si>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</si>
  <si>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</si>
  <si>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</si>
  <si>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</si>
  <si>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</si>
  <si>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</si>
  <si>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Rekonstrukce WC v pavilonu 3 ZŠ Smolkova</t>
  </si>
  <si>
    <t>Objekt:</t>
  </si>
  <si>
    <t>Rozpočet:</t>
  </si>
  <si>
    <t>RProj2407</t>
  </si>
  <si>
    <t>Městská část Praha 12</t>
  </si>
  <si>
    <t>Generála Šišky 2375/6</t>
  </si>
  <si>
    <t>Praha-Modřany</t>
  </si>
  <si>
    <t>14300</t>
  </si>
  <si>
    <t>00231151</t>
  </si>
  <si>
    <t>CZ00231151</t>
  </si>
  <si>
    <t>R-Projekt 07 Praha s.r.o.</t>
  </si>
  <si>
    <t>Ke Strašnické 1795/8</t>
  </si>
  <si>
    <t>Praha-Strašnice</t>
  </si>
  <si>
    <t>10000</t>
  </si>
  <si>
    <t>03520358</t>
  </si>
  <si>
    <t>CZ03520358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</si>
  <si>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</si>
  <si>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</si>
  <si>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</si>
  <si>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</si>
  <si>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</si>
  <si>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</si>
  <si>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</si>
  <si>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</si>
  <si>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</si>
  <si>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</si>
  <si>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</si>
  <si>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</si>
  <si>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</si>
  <si>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</si>
  <si>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</si>
  <si>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</si>
  <si>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</si>
  <si>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</si>
  <si>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</si>
  <si>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</si>
  <si>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</si>
  <si>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</si>
  <si>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</si>
  <si>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</si>
  <si>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</si>
  <si>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</si>
  <si>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</si>
  <si>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</si>
  <si>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</si>
  <si>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</si>
  <si>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</si>
  <si>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</si>
  <si>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</si>
  <si>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</si>
  <si>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</si>
  <si>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</si>
  <si>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</si>
  <si>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</si>
  <si>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</si>
  <si>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</si>
  <si>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</si>
  <si>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</si>
  <si>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</si>
  <si>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</si>
  <si>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</si>
  <si>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</si>
  <si>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</si>
  <si>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</si>
  <si>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</si>
  <si>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</si>
  <si>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</si>
  <si>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</si>
  <si>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</si>
  <si>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</si>
  <si>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</si>
  <si>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</si>
  <si>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</si>
  <si>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</si>
  <si>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</si>
  <si>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</si>
  <si>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</si>
  <si>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</si>
  <si>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</si>
  <si>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</si>
  <si>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</si>
  <si>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</si>
  <si>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</si>
  <si>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</si>
  <si>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</si>
  <si>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</si>
  <si>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</si>
  <si>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</si>
  <si>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</si>
  <si>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</si>
  <si>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</si>
  <si>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</si>
  <si>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</si>
  <si>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</si>
  <si>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</si>
  <si>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</si>
  <si>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</si>
  <si>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</si>
  <si>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317234410R00</t>
  </si>
  <si>
    <t>Vyzdívka mezi nosníky cihlami pálenými na MC</t>
  </si>
  <si>
    <t>m3</t>
  </si>
  <si>
    <t>RTS 24/ I</t>
  </si>
  <si>
    <t>Práce</t>
  </si>
  <si>
    <t>Běžná</t>
  </si>
  <si>
    <t>POL1_</t>
  </si>
  <si>
    <t xml:space="preserve">B10 : </t>
  </si>
  <si>
    <t>VV</t>
  </si>
  <si>
    <t xml:space="preserve">1.NP : </t>
  </si>
  <si>
    <t>1,1*0,1*0,15</t>
  </si>
  <si>
    <t xml:space="preserve">2.NP : </t>
  </si>
  <si>
    <t xml:space="preserve">3.NP : </t>
  </si>
  <si>
    <t>317941121R00</t>
  </si>
  <si>
    <t>Osazení ocelových válcovaných nosníků do č.12</t>
  </si>
  <si>
    <t>t</t>
  </si>
  <si>
    <t>1,1*0,00385*2</t>
  </si>
  <si>
    <t>340238211R00</t>
  </si>
  <si>
    <t>Zazdívka otvorů pl.1 m2,cihlami tl.zdi do 10 cm</t>
  </si>
  <si>
    <t>m2</t>
  </si>
  <si>
    <t xml:space="preserve">pozn. 2 : </t>
  </si>
  <si>
    <t>((0,3+0,4)*0,5*0,9-0,3*0,3)*5</t>
  </si>
  <si>
    <t>0,2*3,25</t>
  </si>
  <si>
    <t>340239211R00</t>
  </si>
  <si>
    <t>Zazdívka otvorů pl.4 m2,cihlami tl.zdi do 10 cm</t>
  </si>
  <si>
    <t xml:space="preserve">pozn. 1 : </t>
  </si>
  <si>
    <t>0,7*2,0*2</t>
  </si>
  <si>
    <t>1,28*3,25+0,7*3,25</t>
  </si>
  <si>
    <t>1,18*3,25+0,7*3,25</t>
  </si>
  <si>
    <t>1,2*3,25+0,7*3,25</t>
  </si>
  <si>
    <t>342263990RV1</t>
  </si>
  <si>
    <t>Příplatek k příčce sádrokart. za desku tl. 12,5 mm GKBi na jedné straně příčky</t>
  </si>
  <si>
    <t>342266111RA1</t>
  </si>
  <si>
    <t>Obklad stěn sádrokartonem na ocelovou konstrukci desky standard tl. 12,5 mm 2x, bez izolace</t>
  </si>
  <si>
    <t xml:space="preserve">W1 : </t>
  </si>
  <si>
    <t>2,71*3,25</t>
  </si>
  <si>
    <t>0,91*3,25</t>
  </si>
  <si>
    <t>3,21*1,34+3,24*0,15</t>
  </si>
  <si>
    <t>1,62*1,35+1,62*0,15</t>
  </si>
  <si>
    <t>1,32*3,25</t>
  </si>
  <si>
    <t>3,23*1,35+3,23*0,15</t>
  </si>
  <si>
    <t>1,78*3,25</t>
  </si>
  <si>
    <t>3,2*3,25</t>
  </si>
  <si>
    <t>2,69*3,25</t>
  </si>
  <si>
    <t>0,79*3,25</t>
  </si>
  <si>
    <t>1,4*3,25</t>
  </si>
  <si>
    <t>3,17*1,34+3,17*0,15</t>
  </si>
  <si>
    <t>1,33*1,34+1,33*0,15</t>
  </si>
  <si>
    <t>1,75*3,25</t>
  </si>
  <si>
    <t>3,23*1,34+3,23*0,15</t>
  </si>
  <si>
    <t>2,68*3,25</t>
  </si>
  <si>
    <t>3,33*1,34+3,33*0,15</t>
  </si>
  <si>
    <t>1,43*3,25</t>
  </si>
  <si>
    <t>1,27*1,34+1,27*0,15</t>
  </si>
  <si>
    <t>1,85*3,25</t>
  </si>
  <si>
    <t>3,18*1,34+3,18*0,15</t>
  </si>
  <si>
    <t>3,25*3,25</t>
  </si>
  <si>
    <t xml:space="preserve">W2 : </t>
  </si>
  <si>
    <t>(0,41+0,2)*3,25</t>
  </si>
  <si>
    <t>2*0,25*3,25</t>
  </si>
  <si>
    <t>(0,3+0,2)*3,25</t>
  </si>
  <si>
    <t>2*0,2*3,25</t>
  </si>
  <si>
    <t>(0,5+0,16)*3,25</t>
  </si>
  <si>
    <t>342264051RT3</t>
  </si>
  <si>
    <t>Podhled sádrokartonový na zavěšenou ocel. konstr. desky standard impreg. tl. 12,5 mm, bez izolace</t>
  </si>
  <si>
    <t>2,49+2,12+1,68</t>
  </si>
  <si>
    <t>2,45+1,96+1,74</t>
  </si>
  <si>
    <t>2,56+2,06+1,77</t>
  </si>
  <si>
    <t>342264098R00</t>
  </si>
  <si>
    <t>Příplatek k podhledu sádrokart. za plochu do 10 m2</t>
  </si>
  <si>
    <t>342 00</t>
  </si>
  <si>
    <t>SDK trámeček dvoustranný 250/425</t>
  </si>
  <si>
    <t xml:space="preserve">m     </t>
  </si>
  <si>
    <t>Vlastní</t>
  </si>
  <si>
    <t>Indiv</t>
  </si>
  <si>
    <t>3,62</t>
  </si>
  <si>
    <t>3,59-0,25</t>
  </si>
  <si>
    <t>3,58-0,2</t>
  </si>
  <si>
    <t>342 01</t>
  </si>
  <si>
    <t>SDK trámeček dvoustranný 300/625</t>
  </si>
  <si>
    <t>2,13</t>
  </si>
  <si>
    <t>2,12</t>
  </si>
  <si>
    <t>13331714R</t>
  </si>
  <si>
    <t>Úhelník rovnoramenný L jakost S235  50x50x5 mm 11375</t>
  </si>
  <si>
    <t>SPCM</t>
  </si>
  <si>
    <t>Specifikace</t>
  </si>
  <si>
    <t>POL3_</t>
  </si>
  <si>
    <t>1,1*0,00385*2*1,08</t>
  </si>
  <si>
    <t>411121221R00</t>
  </si>
  <si>
    <t>Osazování stropních desek š. do 60, dl. do 90 cm</t>
  </si>
  <si>
    <t>kus</t>
  </si>
  <si>
    <t xml:space="preserve">ze stávajících desek PZD : </t>
  </si>
  <si>
    <t>6</t>
  </si>
  <si>
    <t>610991111R00</t>
  </si>
  <si>
    <t>Zakrývání výplní vnitřních otvorů</t>
  </si>
  <si>
    <t>0,88*1,2*8</t>
  </si>
  <si>
    <t>611421331R00</t>
  </si>
  <si>
    <t>Oprava váp.omítek stropů do 30% plochy - štukových</t>
  </si>
  <si>
    <t>612421637R00</t>
  </si>
  <si>
    <t>Omítka vnitřní zdiva, MVC, štuková</t>
  </si>
  <si>
    <t xml:space="preserve">na nové zdivo : </t>
  </si>
  <si>
    <t>5,325+2*27,12</t>
  </si>
  <si>
    <t>612421331R00</t>
  </si>
  <si>
    <t>Oprava vápen.omítek stěn do 30 % pl. - štukových</t>
  </si>
  <si>
    <t>612451121R00</t>
  </si>
  <si>
    <t>Omítka vnitřní zdiva, cementová (MC), hladká</t>
  </si>
  <si>
    <t>(1,35*2+3,2)*1,6</t>
  </si>
  <si>
    <t>(0,9+3,23+1,06)*1,34+3,23*0,15</t>
  </si>
  <si>
    <t>(1,24+2,11)*2*1,6-0,6*1,6</t>
  </si>
  <si>
    <t>(1,39+2,27+0,41)*2*1,6</t>
  </si>
  <si>
    <t>(0,92*2+3,21)*1,34+3,21*0,15</t>
  </si>
  <si>
    <t>(2*3,62+1,74)*1,6-0,8*1,6</t>
  </si>
  <si>
    <t>(1,27+1,79)*2*1,6-0,7*1,6</t>
  </si>
  <si>
    <t>(1,27+1,32)*2*1,6-0,7*1,6</t>
  </si>
  <si>
    <t>(2*1,35+3,2)*1,6</t>
  </si>
  <si>
    <t>(0,74+0,9+3,23)*1,34+3,23*0,15</t>
  </si>
  <si>
    <t>(1,24+2,08)*2*1,6-0,6*1,6</t>
  </si>
  <si>
    <t>(0,91*2+3,17)*1,34+3,17*0,15</t>
  </si>
  <si>
    <t>(2*3,59+1,66)*1,6-0,8*1,6</t>
  </si>
  <si>
    <t>(1,25+1,68)*2*1,6-0,7*1,6</t>
  </si>
  <si>
    <t>(1,24+1,4)*2*1,6-0,7*1,6</t>
  </si>
  <si>
    <t>(1,24+2,2+0,2)*2*1,6-0,6*1,6</t>
  </si>
  <si>
    <t>(3,18+0,92+0,75)*1,34+3,18*0,15</t>
  </si>
  <si>
    <t>(1,24+2,15)*2*1,6-0,6*1,6</t>
  </si>
  <si>
    <t>(2*0,92+3,33)*1,34+3,33*0,15</t>
  </si>
  <si>
    <t>(2*3,58+1,56)*1,6-0,8*1,6</t>
  </si>
  <si>
    <t>(1,24+1,81)*2*1,6-0,6*1,6</t>
  </si>
  <si>
    <t>(1,24+1,43)*2*1,6-0,6*1,6</t>
  </si>
  <si>
    <t>(1,39+2,06+0,5)*2*1,6-0,6*1,6</t>
  </si>
  <si>
    <t>Mezisoučet</t>
  </si>
  <si>
    <t>631312611R00</t>
  </si>
  <si>
    <t>Mazanina betonová tl. 5 - 8 cm C 16/20</t>
  </si>
  <si>
    <t xml:space="preserve">pozn. 3 : </t>
  </si>
  <si>
    <t>(0,9*0,6*2+0,6*0,5)*0,05</t>
  </si>
  <si>
    <t xml:space="preserve">pozn. 4 : </t>
  </si>
  <si>
    <t>2*0,1*0,8*0,05</t>
  </si>
  <si>
    <t>631319151R00</t>
  </si>
  <si>
    <t>Příplatek za přehlaz. mazanin pod povlaky tl. 8 cm</t>
  </si>
  <si>
    <t>632413110R00</t>
  </si>
  <si>
    <t>Potěr ze SMS, ruční zpracování, tl. 10 mm</t>
  </si>
  <si>
    <t>10,71+7,46+2,49+6,74+5,08+2,12+1,68+3,09</t>
  </si>
  <si>
    <t>10,69+2,45+7,43+6,72+5,72+1,96+1,74+2,98</t>
  </si>
  <si>
    <t>10,69+2,56+7,38+6,93+5,34+2,06+1,77+2,82</t>
  </si>
  <si>
    <t>642942111R00</t>
  </si>
  <si>
    <t>Osazení zárubní dveřních ocelových, pl. do 2,5 m2</t>
  </si>
  <si>
    <t xml:space="preserve">D 01 : </t>
  </si>
  <si>
    <t>55330380R</t>
  </si>
  <si>
    <t>Zárubeň ocelová  700x1970x100 L</t>
  </si>
  <si>
    <t>941955002R00</t>
  </si>
  <si>
    <t>Lešení lehké pomocné, výška podlahy do 1,9 m</t>
  </si>
  <si>
    <t>952901111R00</t>
  </si>
  <si>
    <t>Vyčištění budov o výšce podlaží do 4 m</t>
  </si>
  <si>
    <t>10,71+7,46+2,49+2,53+4,59+6,74+5,08+2,12+1,68+3,09</t>
  </si>
  <si>
    <t>10,69+2,45+7,43+2,54+4,03+6,72+5,72+1,96+1,74+2,98</t>
  </si>
  <si>
    <t>10,69+2,56+7,38+2,48+3,76+6,93+5,34+2,06+1,77+2,82</t>
  </si>
  <si>
    <t>953946111R00</t>
  </si>
  <si>
    <t xml:space="preserve">Osazení ventilačních mřížek </t>
  </si>
  <si>
    <t>2</t>
  </si>
  <si>
    <t>950 01</t>
  </si>
  <si>
    <t xml:space="preserve">Dokumentace skutečného provedení stavby </t>
  </si>
  <si>
    <t>kompl</t>
  </si>
  <si>
    <t>950 02</t>
  </si>
  <si>
    <t xml:space="preserve">Proměření a průzkum elektroinstalace </t>
  </si>
  <si>
    <t>950 03</t>
  </si>
  <si>
    <t xml:space="preserve">Demontáže rozvodů elektro vč. ekologické likvidace </t>
  </si>
  <si>
    <t>950 04</t>
  </si>
  <si>
    <t xml:space="preserve">Požární ucpávky </t>
  </si>
  <si>
    <t>42972866R</t>
  </si>
  <si>
    <t xml:space="preserve">Mřížka čtyřhranná 400 x 200 mm </t>
  </si>
  <si>
    <t>962031113R00</t>
  </si>
  <si>
    <t>Bourání příček z cihel pálených plných tl. 65 mm</t>
  </si>
  <si>
    <t>1,1*3,25</t>
  </si>
  <si>
    <t>0,98*3,25</t>
  </si>
  <si>
    <t>1,19*3,25</t>
  </si>
  <si>
    <t>1,03*3,25</t>
  </si>
  <si>
    <t>0,89*3,25</t>
  </si>
  <si>
    <t>962031116R00</t>
  </si>
  <si>
    <t>Bourání příček z cihel pálených plných tl. 140 mm</t>
  </si>
  <si>
    <t xml:space="preserve">B9 : </t>
  </si>
  <si>
    <t>2,71*2,4</t>
  </si>
  <si>
    <t>2,71*1,5</t>
  </si>
  <si>
    <t>3,21*1,34</t>
  </si>
  <si>
    <t>3,23*1,34</t>
  </si>
  <si>
    <t>1,62*1,34</t>
  </si>
  <si>
    <t>2,69*2,2</t>
  </si>
  <si>
    <t>3,17*1,34</t>
  </si>
  <si>
    <t>2,68*2,2</t>
  </si>
  <si>
    <t>3,33*1,34</t>
  </si>
  <si>
    <t>3,18*1,34</t>
  </si>
  <si>
    <t>962036412R00</t>
  </si>
  <si>
    <t>DMTZ SDK předstěny, 1x kov.kce, 1x oplášť.12,5 mm</t>
  </si>
  <si>
    <t xml:space="preserve">B7 : </t>
  </si>
  <si>
    <t>(0,2+0,41)*3,25</t>
  </si>
  <si>
    <t>(0,3+0,1)*3,25</t>
  </si>
  <si>
    <t>0,37*3,25</t>
  </si>
  <si>
    <t>(0,12+0,5)*3,25</t>
  </si>
  <si>
    <t>963012510R00</t>
  </si>
  <si>
    <t>Bourání stropů z desek žb. š. 30 cm, tl. do 14 cm</t>
  </si>
  <si>
    <t xml:space="preserve">B11 : </t>
  </si>
  <si>
    <t>0,9*0,6*0,1*2</t>
  </si>
  <si>
    <t>0,6*0,5*0,1</t>
  </si>
  <si>
    <t>965042121R00</t>
  </si>
  <si>
    <t>Bourání mazanin betonových tl. 10 cm, pl. 1 m2</t>
  </si>
  <si>
    <t>965048150R00</t>
  </si>
  <si>
    <t>Dočištění povrchu po vybourání dlažeb, tmel do 50%</t>
  </si>
  <si>
    <t>965081713R00</t>
  </si>
  <si>
    <t>Bourání dlažeb keramických tl.10 mm, nad 1 m2</t>
  </si>
  <si>
    <t xml:space="preserve">B5 : </t>
  </si>
  <si>
    <t>11,19+7,46+2,76+1,28*1,49+6,74+6,83+2,79+1,29</t>
  </si>
  <si>
    <t>11,17+2,72+7,43+1,18*1,49+6,72+7,28+2,88+1,28</t>
  </si>
  <si>
    <t>11,17+2,83+7,38+1,2*1,49+6,93+7,08+2,88+1,12</t>
  </si>
  <si>
    <t>966077111R00</t>
  </si>
  <si>
    <t>Odstranění doplňkových konstrukcí do 20 kg</t>
  </si>
  <si>
    <t xml:space="preserve">demontáž mřížky : </t>
  </si>
  <si>
    <t>1</t>
  </si>
  <si>
    <t>968061125R00</t>
  </si>
  <si>
    <t>Vyvěšení dřevěných dveřních křídel pl. do 2 m2</t>
  </si>
  <si>
    <t xml:space="preserve">B1 + B2 : </t>
  </si>
  <si>
    <t>10</t>
  </si>
  <si>
    <t>968072455R00</t>
  </si>
  <si>
    <t>Vybourání kovových dveřních zárubní pl. do 2 m2</t>
  </si>
  <si>
    <t xml:space="preserve">B1 : </t>
  </si>
  <si>
    <t>2*0,6*1,97</t>
  </si>
  <si>
    <t>971033521R00</t>
  </si>
  <si>
    <t>Vybourání otv. zeď cihel. pl.1 m2, tl.10 cm, MVC</t>
  </si>
  <si>
    <t xml:space="preserve">B12 : </t>
  </si>
  <si>
    <t>(0,3+0,4)*0,5*0,9*5</t>
  </si>
  <si>
    <t>971033621R00</t>
  </si>
  <si>
    <t>Vybourání otv. zeď cihel. pl.4 m2, tl.10 cm, MVC</t>
  </si>
  <si>
    <t xml:space="preserve">B8 : </t>
  </si>
  <si>
    <t>1,13*2,0-0,6*1,97</t>
  </si>
  <si>
    <t>1,15*2,0-0,6*1,97</t>
  </si>
  <si>
    <t>0,8*2,0*2</t>
  </si>
  <si>
    <t>974031664R00</t>
  </si>
  <si>
    <t>Vysekání rýh zeď cihelná vtah. nosníků 15 x 15 cm</t>
  </si>
  <si>
    <t>m</t>
  </si>
  <si>
    <t>1,1*2</t>
  </si>
  <si>
    <t>978011141R00</t>
  </si>
  <si>
    <t>Otlučení omítek vnitřních vápenných stropů do 30 %</t>
  </si>
  <si>
    <t>11,19+7,46+2,76+6,37+6,74+6,83+2,79+1,29</t>
  </si>
  <si>
    <t>11,17+2,72+7,43+5,79+6,72+7,28+2,88+1,28</t>
  </si>
  <si>
    <t>11,17+2,83+7,38+5,55+6,93+7,08+2,88+1,12</t>
  </si>
  <si>
    <t>978013141R00</t>
  </si>
  <si>
    <t>Otlučení omítek vnitřních stěn v rozsahu do 30 %</t>
  </si>
  <si>
    <t>(3,62+3,2)*2*3,25</t>
  </si>
  <si>
    <t>(2,13+3,7)*2*3,25</t>
  </si>
  <si>
    <t>(1,39+1,78)*2*3,25</t>
  </si>
  <si>
    <t>(3,62+2,45)*2*3,25</t>
  </si>
  <si>
    <t>(2,1+3,21)*2*3,25</t>
  </si>
  <si>
    <t>(3,62+1,62)*2*3,25</t>
  </si>
  <si>
    <t>(1,42+0,91)*2*3,25</t>
  </si>
  <si>
    <t>(1,1+0,78)*2*3,25</t>
  </si>
  <si>
    <t>(1,42+1,32)*2*3,25</t>
  </si>
  <si>
    <t>(1,39+0,89)*2*3,25</t>
  </si>
  <si>
    <t>(3,61+3,2)*2*3,25</t>
  </si>
  <si>
    <t>(2,12+3,7)*2*3,25</t>
  </si>
  <si>
    <t>(2,08+1,39)*2*3,25</t>
  </si>
  <si>
    <t>(2,32+3,61)*2*3,25</t>
  </si>
  <si>
    <t>(2,12+3,17)*2*3,25</t>
  </si>
  <si>
    <t>(3,59+1,81)*2*3,25</t>
  </si>
  <si>
    <t>(1,4+0,79)*2*3,25</t>
  </si>
  <si>
    <t>(1,1+0,8)*2*3,25</t>
  </si>
  <si>
    <t>(1,39+1,4)*2*3,25</t>
  </si>
  <si>
    <t>(0,92+1,39)*2*3,25</t>
  </si>
  <si>
    <t>(3,7+2,12)*2*3,25</t>
  </si>
  <si>
    <t>(1,39+2,15)*2*3,25</t>
  </si>
  <si>
    <t>(2,3+3,56)*2*3,25</t>
  </si>
  <si>
    <t>(2,08+3,33)*2*3,25</t>
  </si>
  <si>
    <t>(3,58+1,71)*2*3,25</t>
  </si>
  <si>
    <t>(1,4+0,9)*2*3,25</t>
  </si>
  <si>
    <t>(1,03+0,81)*2*3,25</t>
  </si>
  <si>
    <t>(1,39+1,43)*2*3,25</t>
  </si>
  <si>
    <t>(0,84+1,39)*2*3,25</t>
  </si>
  <si>
    <t xml:space="preserve">odpočet - obklady : </t>
  </si>
  <si>
    <t>-185,8508</t>
  </si>
  <si>
    <t>978021191R00</t>
  </si>
  <si>
    <t>Otlučení cementových omítek vnitřních stěn do 100%</t>
  </si>
  <si>
    <t xml:space="preserve">B6 : </t>
  </si>
  <si>
    <t>(2*1,13+3,2)*1,55</t>
  </si>
  <si>
    <t>(0,73+0,9+3,23)*1,34</t>
  </si>
  <si>
    <t>(2,1+1,39)*2*1,5-0,6*1,5</t>
  </si>
  <si>
    <t>(3,21+2*0,9)*1,34</t>
  </si>
  <si>
    <t>(0,62+1,32+2,71+0,12)*1,5-0,6*1,5</t>
  </si>
  <si>
    <t>(1,42+0,91)*2*1,5-0,6*1,5</t>
  </si>
  <si>
    <t>(0,89+1,49)*2*1,5-0,6*1,5</t>
  </si>
  <si>
    <t>(1,32+2*0,62)*1,5</t>
  </si>
  <si>
    <t>(1,1+0,78)*2*1,5-0,6*1,5</t>
  </si>
  <si>
    <t>(2*1,25+3,2)*1,5</t>
  </si>
  <si>
    <t>(2,08+1,75)*2*1,5-0,6*1,5</t>
  </si>
  <si>
    <t>(3,23+0,89+0,88)*1,5-0,88*0,2*2</t>
  </si>
  <si>
    <t>(3,17+2*0,89)*1,5-0,88*0,2*2</t>
  </si>
  <si>
    <t>(0,26+2,69+1,4+2*0,25+0,35)*1,5</t>
  </si>
  <si>
    <t>(1,4+0,79)*2*1,5-0,6*1,5</t>
  </si>
  <si>
    <t>(0,8+1,1)*2*1,5-0,6*1,5</t>
  </si>
  <si>
    <t>(1,39+1,4)*2*1,5-0,6*1,5*2</t>
  </si>
  <si>
    <t>(0,92+1,39)*2*1,5-0,6*1,5</t>
  </si>
  <si>
    <t>(2,15+1,39)*2*1,5-0,6*1,5</t>
  </si>
  <si>
    <t>(2*0,9+3,18)*1,5-0,88*0,2*2</t>
  </si>
  <si>
    <t>(2*0,9+3,33)*1,5-0,88*0,2*2</t>
  </si>
  <si>
    <t>(0,25+2,68+1,28+0,37+0,33)*1,5</t>
  </si>
  <si>
    <t>(1,4+0,91)*2*1,5-0,6*1,5</t>
  </si>
  <si>
    <t>(1,03+0,81)*2*1,5-0,6*1,5</t>
  </si>
  <si>
    <t>(1,39+1,43)*2*1,5-0,6*1,5*2</t>
  </si>
  <si>
    <t>(1,39+0,84)*2*1,5-0,6*1,5</t>
  </si>
  <si>
    <t>978059531R00</t>
  </si>
  <si>
    <t>Odsekání vnitřních obkladů stěn nad 2 m2</t>
  </si>
  <si>
    <t>999281151R00</t>
  </si>
  <si>
    <t>Přesun hmot pro opravy a údržbu do v. 25 m,nošením</t>
  </si>
  <si>
    <t>Přesun hmot</t>
  </si>
  <si>
    <t>POL7_</t>
  </si>
  <si>
    <t>711212000R00</t>
  </si>
  <si>
    <t>Penetrace podkladu pod hydroizolační nátěr,vč.dod.</t>
  </si>
  <si>
    <t xml:space="preserve">dlažby : </t>
  </si>
  <si>
    <t>118,61</t>
  </si>
  <si>
    <t xml:space="preserve">stěny : </t>
  </si>
  <si>
    <t>118,61*0,1</t>
  </si>
  <si>
    <t>711212001R00</t>
  </si>
  <si>
    <t>Hydroizolační povlak - nátěr</t>
  </si>
  <si>
    <t>711212002R00</t>
  </si>
  <si>
    <t>Hydroizolační povlak - nátěr nebo stěrka</t>
  </si>
  <si>
    <t>711212601R00</t>
  </si>
  <si>
    <t>Těsnicí pás do spoje podlaha - stěna</t>
  </si>
  <si>
    <t>711212602R00</t>
  </si>
  <si>
    <t>Těsnicí roh vnější, vnitřní do spoje podlaha-stěna</t>
  </si>
  <si>
    <t>6+6+6+4+4+6+6+4+8</t>
  </si>
  <si>
    <t>6+6+6+4+4+8+6+4+8</t>
  </si>
  <si>
    <t>998711203R00</t>
  </si>
  <si>
    <t>Přesun hmot pro izolace proti vodě, výšky do 60 m</t>
  </si>
  <si>
    <t>713101111R00</t>
  </si>
  <si>
    <t>Odstr.tep.izolace stropů,volně, EPS tl. do 100 mm</t>
  </si>
  <si>
    <t>(0,9*0,6*2+0,6*0,5)</t>
  </si>
  <si>
    <t>713121111R00</t>
  </si>
  <si>
    <t>Izolace tepelná podlah na sucho, jednovrstvá</t>
  </si>
  <si>
    <t>0,9*0,6*2+0,6*0,5</t>
  </si>
  <si>
    <t>2*0,1*0,8</t>
  </si>
  <si>
    <t>28375705R</t>
  </si>
  <si>
    <t>Deska izolační stabilizov. EPS 150  1000 x 500 mm</t>
  </si>
  <si>
    <t>1,86*0,04*1,02</t>
  </si>
  <si>
    <t>998713203R00</t>
  </si>
  <si>
    <t>Přesun hmot pro izolace tepelné, výšky do 24 m</t>
  </si>
  <si>
    <t>720 00T00</t>
  </si>
  <si>
    <t>Provedení ZTI viz samostatná část PD</t>
  </si>
  <si>
    <t>P 720T00</t>
  </si>
  <si>
    <t>Stavební přípomoci</t>
  </si>
  <si>
    <t>725299101R00</t>
  </si>
  <si>
    <t>Montáž koupelnových doplňků - mýdelníků, držáků ap</t>
  </si>
  <si>
    <t>soubor</t>
  </si>
  <si>
    <t>A</t>
  </si>
  <si>
    <t>Dávkovač tekutého mýdla na zeď Dle tabulky ostatních výrobků</t>
  </si>
  <si>
    <t>15+12</t>
  </si>
  <si>
    <t>B</t>
  </si>
  <si>
    <t>Zásobník na jednotlivé papírové ručníky Dle tabulky ostatních výrobků</t>
  </si>
  <si>
    <t>6+3</t>
  </si>
  <si>
    <t>C</t>
  </si>
  <si>
    <t>Zásobník na toaletní papír Dle tabulky ostatních výrobků</t>
  </si>
  <si>
    <t>D</t>
  </si>
  <si>
    <t>Závěsná WC souprava s krytkou Dle tabulky ostatních výrobků</t>
  </si>
  <si>
    <t>15+6</t>
  </si>
  <si>
    <t>E</t>
  </si>
  <si>
    <t>Odpadkový koš Dle tabulky ostatních výrobků</t>
  </si>
  <si>
    <t>998725203R00</t>
  </si>
  <si>
    <t>Přesun hmot pro zařizovací předměty, výšky do 24 m</t>
  </si>
  <si>
    <t>713421211R00</t>
  </si>
  <si>
    <t xml:space="preserve">Izolace potrubí z minerální vaty tl. 40 mm s hliníkovou fólií na potrubí prům 100 mm </t>
  </si>
  <si>
    <t>6*3,14*0,1</t>
  </si>
  <si>
    <t>728112111R00</t>
  </si>
  <si>
    <t xml:space="preserve">D+M potrubí plechového kruhového do d 100 mm (včetně systémových závěsů s kompenzací  chvění a tvarovek (kolen a odboček) </t>
  </si>
  <si>
    <t>72800</t>
  </si>
  <si>
    <t xml:space="preserve">Vysazení odbočky prům 100 mm na stávajícím potrubí </t>
  </si>
  <si>
    <t>72801</t>
  </si>
  <si>
    <t>Úpravy stávajícího VZT potrubí pro montáž nových ventilátorů</t>
  </si>
  <si>
    <t>72802</t>
  </si>
  <si>
    <t xml:space="preserve">Demontáž ventilátoru vč. ekologické likvidace </t>
  </si>
  <si>
    <t>72803</t>
  </si>
  <si>
    <t>D+M nástěnného odtahového ventilátoru se zpětnou klapkou a doběhem prům 100 mm,min.výkon 100 m3/h</t>
  </si>
  <si>
    <t>72804</t>
  </si>
  <si>
    <t>D+M stropního odtahového ventilátoru se zpětnou klapkou a doběhem prům 125 mm,min.výkon 150 m3/h</t>
  </si>
  <si>
    <t>P 728</t>
  </si>
  <si>
    <t>730 00T00</t>
  </si>
  <si>
    <t>Provedení ÚT viz samostatná část PD</t>
  </si>
  <si>
    <t>766111820R00</t>
  </si>
  <si>
    <t>Demontáž dřevěných stěn plných</t>
  </si>
  <si>
    <t>(3*1,13+3,2)*2,0</t>
  </si>
  <si>
    <t>(3*1,25+3,2)*2,0</t>
  </si>
  <si>
    <t>766661112R00</t>
  </si>
  <si>
    <t>Montáž dveří do zárubně,otevíravých 1kř.do 0,8 m</t>
  </si>
  <si>
    <t xml:space="preserve">60/197 : </t>
  </si>
  <si>
    <t xml:space="preserve">D03 : </t>
  </si>
  <si>
    <t xml:space="preserve">D05 : </t>
  </si>
  <si>
    <t xml:space="preserve">70/197 : </t>
  </si>
  <si>
    <t xml:space="preserve">D01 : </t>
  </si>
  <si>
    <t xml:space="preserve">80/197 : </t>
  </si>
  <si>
    <t xml:space="preserve">D02 : </t>
  </si>
  <si>
    <t xml:space="preserve">D04 : </t>
  </si>
  <si>
    <t>766669117R00</t>
  </si>
  <si>
    <t>Dokování samozavírače na ocelovou zárubeň</t>
  </si>
  <si>
    <t>766669921R00</t>
  </si>
  <si>
    <t>Montáž zámku dle tabulky dveří</t>
  </si>
  <si>
    <t>766670021R00</t>
  </si>
  <si>
    <t>Montáž kliky a štítku dle tabulky dveří</t>
  </si>
  <si>
    <t>54914621R</t>
  </si>
  <si>
    <t>Dveřní kování dle tabulky dveří</t>
  </si>
  <si>
    <t>54917015R</t>
  </si>
  <si>
    <t xml:space="preserve">Zavírač dveří hydraulický </t>
  </si>
  <si>
    <t>54926060R</t>
  </si>
  <si>
    <t>Zámek dveřní dle tabulky dveří</t>
  </si>
  <si>
    <t>61165001R</t>
  </si>
  <si>
    <t>Dveře vnitřní plné 1kř. 60x197 cm Dle tabulky dveří</t>
  </si>
  <si>
    <t>61165002R</t>
  </si>
  <si>
    <t>Dveře vnitřní plné 1kř. 70x197 cm Dle tabulky dveří</t>
  </si>
  <si>
    <t>61165003R</t>
  </si>
  <si>
    <t>Dveře vnitřní plné 1kř. 80x197 cm Dle tabulky dveří</t>
  </si>
  <si>
    <t>998766203R00</t>
  </si>
  <si>
    <t>Přesun hmot pro truhlářské konstr., výšky do 24 m</t>
  </si>
  <si>
    <t>D 06</t>
  </si>
  <si>
    <t>D+M Sanitární příčky s dveřmi Dle tabulky dveří</t>
  </si>
  <si>
    <t>998767203R00</t>
  </si>
  <si>
    <t>Přesun hmot pro zámečnické konstr., výšky do 24 m</t>
  </si>
  <si>
    <t>771101210R00</t>
  </si>
  <si>
    <t>Penetrace podkladu pod dlažby dle výkresu spárořezů</t>
  </si>
  <si>
    <t xml:space="preserve">sokly : </t>
  </si>
  <si>
    <t>61,8*0,1</t>
  </si>
  <si>
    <t>771475014R00</t>
  </si>
  <si>
    <t>Obklad soklíků keram.rovných, tmel,výška 10 cm, vč. úpravy podkladu  a spárování dle výkresu spárořezů</t>
  </si>
  <si>
    <t>(2*2,09+3,2)-0,8</t>
  </si>
  <si>
    <t>(0,47+1,23+3,7+1,07)-(2*0,8+0,6)</t>
  </si>
  <si>
    <t>(2*2,5+2,13)-0,8</t>
  </si>
  <si>
    <t>(2*1,03+3,21)-(2*0,8+2*0,7)</t>
  </si>
  <si>
    <t>1,2</t>
  </si>
  <si>
    <t>(2*2,08+3,2)-0,8</t>
  </si>
  <si>
    <t>(2*2,38+2,12)-0,8</t>
  </si>
  <si>
    <t>(2*1,06+3,17)-(0,8*2+0,7*2)</t>
  </si>
  <si>
    <t>1,39</t>
  </si>
  <si>
    <t>(0,52+1,22+3,7+1,05)-(2*0,8+0,6)</t>
  </si>
  <si>
    <t>(2*2,3+2,07)-0,8</t>
  </si>
  <si>
    <t>(2*1,01+3,33)-(2*0,8+2*0,6)</t>
  </si>
  <si>
    <t>1,29</t>
  </si>
  <si>
    <t>771575109R00</t>
  </si>
  <si>
    <t>Montáž podlah keram.,hladké, tmel, 30x30 cm, vč. úpravy podkladu  a spárování dle výkresu spárořezů</t>
  </si>
  <si>
    <t>771577843R00</t>
  </si>
  <si>
    <t>Podlahový profil dilatační, stejná výška dlaždic</t>
  </si>
  <si>
    <t>2*0,8+2*0,7+0,6</t>
  </si>
  <si>
    <t>771577113RS2</t>
  </si>
  <si>
    <t>Lišta hliníková přechodová</t>
  </si>
  <si>
    <t>2*0,8+2*0,6</t>
  </si>
  <si>
    <t>597642000R</t>
  </si>
  <si>
    <t>Dlažba 100x100x9 mm</t>
  </si>
  <si>
    <t>61,08*0,1*1,2</t>
  </si>
  <si>
    <t>597642030R</t>
  </si>
  <si>
    <t>Dlažba 300x300x9 mm</t>
  </si>
  <si>
    <t>118,61*1,1</t>
  </si>
  <si>
    <t>998771203R00</t>
  </si>
  <si>
    <t>Přesun hmot pro podlahy z dlaždic, výšky do 24 m</t>
  </si>
  <si>
    <t>781101210R00</t>
  </si>
  <si>
    <t>Penetrace podkladu pod obklady, vč. úpravy podkladu  a spárování</t>
  </si>
  <si>
    <t>781475111R00</t>
  </si>
  <si>
    <t>Obklad vnitřní stěn keramický, do tmele, 10x10 cm, vč. úpravy podkladu  a spárování dle výkresu spárořezů</t>
  </si>
  <si>
    <t>(0,9+3,23+1,06)*1,34</t>
  </si>
  <si>
    <t>(0,92*2+3,21)*1,34</t>
  </si>
  <si>
    <t>(0,74+0,9+3,23)*1,34</t>
  </si>
  <si>
    <t>(0,91*2+3,17)*1,34</t>
  </si>
  <si>
    <t>(3,18+0,92+0,75)*1,34</t>
  </si>
  <si>
    <t>(2*0,92+3,33)*1,34</t>
  </si>
  <si>
    <t>781497111R00</t>
  </si>
  <si>
    <t>Lišta hliníková ukončovací a rohová k obkladům  dle výkresu spárořezů</t>
  </si>
  <si>
    <t>(1,35*2+3,2)</t>
  </si>
  <si>
    <t>(0,9+3,23+1,06)+3,23</t>
  </si>
  <si>
    <t>(1,24+2,11)*2-0,6</t>
  </si>
  <si>
    <t>(1,39+2,27+0,41)*2</t>
  </si>
  <si>
    <t>(0,92*2+3,21)+3,21</t>
  </si>
  <si>
    <t>(2*3,62+1,74)-0,8</t>
  </si>
  <si>
    <t>(1,27+1,79)*2-0,7</t>
  </si>
  <si>
    <t>(1,27+1,32)*2-0,7</t>
  </si>
  <si>
    <t>9*1,6</t>
  </si>
  <si>
    <t>(2*1,35+3,2)</t>
  </si>
  <si>
    <t>(0,74+0,9+3,23)+3,23</t>
  </si>
  <si>
    <t>(1,24+2,08)*2-0,6</t>
  </si>
  <si>
    <t>(0,91*2+3,17)+3,17</t>
  </si>
  <si>
    <t>(2*3,59+1,66)-0,8</t>
  </si>
  <si>
    <t>(1,25+1,68)*2-0,7</t>
  </si>
  <si>
    <t>(1,24+1,4)*2-0,7</t>
  </si>
  <si>
    <t>(1,24+2,2+0,2)*2-0,6</t>
  </si>
  <si>
    <t>10*1,6</t>
  </si>
  <si>
    <t>(3,18+0,92+0,75)+3,18</t>
  </si>
  <si>
    <t>(1,24+2,15)*2-0,6</t>
  </si>
  <si>
    <t>(2*0,92+3,33)+3,33</t>
  </si>
  <si>
    <t>(2*3,58+1,56)-0,8</t>
  </si>
  <si>
    <t>(1,24+1,81)*2-0,6</t>
  </si>
  <si>
    <t>(1,24+1,43)*2-0,6</t>
  </si>
  <si>
    <t>(1,39+2,06+0,5)*2-0,6</t>
  </si>
  <si>
    <t>781675112R00</t>
  </si>
  <si>
    <t>Montáž obkladů parapetů keramic. na tmel, 15x15 cm</t>
  </si>
  <si>
    <t>3,23</t>
  </si>
  <si>
    <t>3,21</t>
  </si>
  <si>
    <t>3,17</t>
  </si>
  <si>
    <t>3,18</t>
  </si>
  <si>
    <t>3,33</t>
  </si>
  <si>
    <t>597813526R</t>
  </si>
  <si>
    <t>Obkládačka 10x10  dle výkresu spárořezů</t>
  </si>
  <si>
    <t>219,8168*1,1</t>
  </si>
  <si>
    <t>597813527R</t>
  </si>
  <si>
    <t xml:space="preserve">Obkládačka 15x15 </t>
  </si>
  <si>
    <t>19,35*0,15*1,2</t>
  </si>
  <si>
    <t>998781203R00</t>
  </si>
  <si>
    <t>Přesun hmot pro obklady keramické, výšky do 24 m</t>
  </si>
  <si>
    <t>783801812R00</t>
  </si>
  <si>
    <t>Odstranění nátěrů z omítek stěn, oškrabáním</t>
  </si>
  <si>
    <t xml:space="preserve">B13 : </t>
  </si>
  <si>
    <t>(3,2+2*2,46)*1,5-(0,8*1,5+0,88*0,2*2)</t>
  </si>
  <si>
    <t>(3,7+1,07+1,23+0,47)*1,5-(0,8*1,5*2+0,6*1,5)</t>
  </si>
  <si>
    <t>(0,91+1,62+3,62+1,28+1,49)*1,5-(0,8*1,5+0,6*1,5+0,88*0,2)</t>
  </si>
  <si>
    <t>(1,03*2+3,21)*1,5-0,8*1,5*2</t>
  </si>
  <si>
    <t>(3,02+1,2+0,91)*1,5-(0,8*1,5+0,88*0,2)</t>
  </si>
  <si>
    <t>(2*2,33+3,2)*1,5-(0,8*1,5+2*0,88*0,2)</t>
  </si>
  <si>
    <t>(0,47+1,23+3,7+1,07)*1,5-(0,8*1,5*2+0,6*1,5)</t>
  </si>
  <si>
    <t>(0,9+1,33+3,61+1,18+1,49)*1,9-(0,8*1,5+0,6*1,5+0,88*0,2)</t>
  </si>
  <si>
    <t>(2*1,06+3,17)*1,5-0,8*1,5*2</t>
  </si>
  <si>
    <t>(0,9+1,39+2,99)*1,5-(0,8*1,5+0,88*0,2)</t>
  </si>
  <si>
    <t>(0,52+1,22+3,7+1,05)*1,5-(0,8*1,5*2+0,6*1,5)</t>
  </si>
  <si>
    <t>(0,9+1,27+3,56+1,2+1,49)*1,5-(0,8*1,5+0,6*1,5+0,88*0,2)</t>
  </si>
  <si>
    <t>(2*1,01+3,33)*1,5-0,8*1,5*2</t>
  </si>
  <si>
    <t>(0,9+1,29+2,99)*1,5-(0,8*1,5+0,88*0,2)</t>
  </si>
  <si>
    <t>783 00</t>
  </si>
  <si>
    <t>Nátěr kovové zárubně</t>
  </si>
  <si>
    <t xml:space="preserve">ks    </t>
  </si>
  <si>
    <t>784111301R00</t>
  </si>
  <si>
    <t>Penetrace podkladu nátěrem 1x pod omyvatelný nátěr</t>
  </si>
  <si>
    <t>(2*2,09+3,2)*1,5</t>
  </si>
  <si>
    <t>(0,47+1,23+3,7+1,07)*1,5</t>
  </si>
  <si>
    <t>(2*2,5+2,13)*1,5</t>
  </si>
  <si>
    <t>(2*1,03+3,21)*1,5</t>
  </si>
  <si>
    <t>1,2*1,5</t>
  </si>
  <si>
    <t>(2*2,08+3,2)*1,5</t>
  </si>
  <si>
    <t>(2*2,38+2,12)*1,5</t>
  </si>
  <si>
    <t>(2*1,06+3,17)*1,5</t>
  </si>
  <si>
    <t>1,39*1,5</t>
  </si>
  <si>
    <t>(0,52+1,22+3,7+1,05)*1,5</t>
  </si>
  <si>
    <t>(2*2,3+2,07)*1,5</t>
  </si>
  <si>
    <t>(2*1,01+3,33)*1,5</t>
  </si>
  <si>
    <t>1,29*1,5</t>
  </si>
  <si>
    <t>784191101R00</t>
  </si>
  <si>
    <t>Penetrace podkladu univerzální 1x</t>
  </si>
  <si>
    <t xml:space="preserve">omítky stávající : </t>
  </si>
  <si>
    <t>135,64+629,8992</t>
  </si>
  <si>
    <t xml:space="preserve">omítky nové : </t>
  </si>
  <si>
    <t>66,45</t>
  </si>
  <si>
    <t xml:space="preserve">SDK : </t>
  </si>
  <si>
    <t>140,9273+18,83+10,34*(0,25+0,425)+6,37*(0,3+0,625)</t>
  </si>
  <si>
    <t>784114212R00</t>
  </si>
  <si>
    <t>Malba, omyvatelný nátěr  2 x</t>
  </si>
  <si>
    <t>784195412R00</t>
  </si>
  <si>
    <t>Malba na omítky 2 x</t>
  </si>
  <si>
    <t>784195612R00</t>
  </si>
  <si>
    <t>Malba na SDK 2 x</t>
  </si>
  <si>
    <t>784402801R00</t>
  </si>
  <si>
    <t>Odstranění malby oškrábáním v místnosti H do 3,8 m</t>
  </si>
  <si>
    <t>POL1_7</t>
  </si>
  <si>
    <t>784403801R00</t>
  </si>
  <si>
    <t>Odstranění maleb omytím v místnosti H do 3,8 m</t>
  </si>
  <si>
    <t>210 00T00</t>
  </si>
  <si>
    <t>Provedení silnoproudé elektroinstalace viz samostatná část PD</t>
  </si>
  <si>
    <t>kpl</t>
  </si>
  <si>
    <t>POL1_9</t>
  </si>
  <si>
    <t>P 210T00</t>
  </si>
  <si>
    <t>979951111R00</t>
  </si>
  <si>
    <t>Výkup kovů - železný šrot tl. do 4 mm</t>
  </si>
  <si>
    <t>Odkaz na dem. hmot. položky pořadí 38 : 0,24000</t>
  </si>
  <si>
    <t>Odkaz na dem. hmot. položky pořadí 40 : 0,53899</t>
  </si>
  <si>
    <t>979990103R00</t>
  </si>
  <si>
    <t>Poplatek za uložení suti - beton, skupina odpadu 170101</t>
  </si>
  <si>
    <t>RTS 23/ II</t>
  </si>
  <si>
    <t>Odkaz na dem. hmot. položky pořadí 35 : 0,15180</t>
  </si>
  <si>
    <t>979990105R00</t>
  </si>
  <si>
    <t>Poplatek za skládku suti - cihelné výrobky, skupina odpadu 170102</t>
  </si>
  <si>
    <t>Odkaz na dem. hmot. položky pořadí 31 : 3,76142</t>
  </si>
  <si>
    <t>Odkaz na dem. hmot. položky pořadí 32 : 16,10401</t>
  </si>
  <si>
    <t>Odkaz na dem. hmot. položky pořadí 36 : 0,21592</t>
  </si>
  <si>
    <t>Odkaz na dem. hmot. položky pořadí 41 : 0,88358</t>
  </si>
  <si>
    <t>Odkaz na dem. hmot. položky pořadí 42 : 2,31732</t>
  </si>
  <si>
    <t>Odkaz na dem. hmot. položky pořadí 43 : 0,27720</t>
  </si>
  <si>
    <t>Odkaz na dem. hmot. položky pořadí 44 : 1,35640</t>
  </si>
  <si>
    <t>Odkaz na dem. hmot. položky pořadí 45 : 6,29899</t>
  </si>
  <si>
    <t>Odkaz na dem. hmot. položky pořadí 46 : 11,33690</t>
  </si>
  <si>
    <t>979990108R00</t>
  </si>
  <si>
    <t>Poplatek za uložení suti - železobeton, skupina odpadu 170101</t>
  </si>
  <si>
    <t>Odkaz na dem. hmot. položky pořadí 34 : 0,28980</t>
  </si>
  <si>
    <t>979990110R00</t>
  </si>
  <si>
    <t>Poplatek za uložení suti - sádrokartonové desky, skupina odpadu 170802</t>
  </si>
  <si>
    <t>Odkaz na dem. hmot. položky pořadí 33 : 0,09937</t>
  </si>
  <si>
    <t>979990111R00</t>
  </si>
  <si>
    <t>Poplatek za uložení suti - stavební keramika, skupina odpadu 170103</t>
  </si>
  <si>
    <t>Odkaz na dem. hmot. položky pořadí 37 : 2,46767</t>
  </si>
  <si>
    <t>Odkaz na dem. hmot. položky pořadí 47 : 12,63785</t>
  </si>
  <si>
    <t>979990146R00</t>
  </si>
  <si>
    <t>Poplatek za uložení lehkých izolačních materiálů - čistý polystyren, minerální a skelná vata</t>
  </si>
  <si>
    <t>Odkaz na dem. hmot. položky pořadí 55 : 0,00317</t>
  </si>
  <si>
    <t>979990161R00</t>
  </si>
  <si>
    <t>Poplatek za likvidaci (spalovna) - dřevo, skupina odpadu 170201</t>
  </si>
  <si>
    <t>Odkaz na dem. hmot. položky pořadí 39 : 0,60000</t>
  </si>
  <si>
    <t>Odkaz na dem. hmot. položky pořadí 77 : 0,69461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</si>
  <si>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</si>
  <si>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</si>
  <si>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</si>
  <si>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</si>
  <si>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</si>
  <si>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</si>
  <si>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</si>
  <si>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</si>
  <si>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</si>
  <si>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</si>
  <si>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</si>
  <si>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</si>
  <si>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</si>
  <si>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</si>
  <si>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</si>
  <si>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</si>
  <si>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</si>
  <si>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</si>
  <si>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</si>
  <si>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</si>
  <si>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</si>
  <si>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</si>
  <si>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</si>
  <si>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</si>
  <si>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</si>
  <si>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</si>
  <si>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</si>
  <si>
    <t>Zdravotně technické instalace</t>
  </si>
  <si>
    <t>Název stavby:</t>
  </si>
  <si>
    <t>ZŠ Smolkova rekonstrukce pouze WC a odpadů v pavilonu 3</t>
  </si>
  <si>
    <t>Doba výstavby:</t>
  </si>
  <si>
    <t xml:space="preserve"> </t>
  </si>
  <si>
    <t> </t>
  </si>
  <si>
    <t>Druh stavby:</t>
  </si>
  <si>
    <t>Začátek výstavby:</t>
  </si>
  <si>
    <t>Lokalita:</t>
  </si>
  <si>
    <t>Konec výstavby:</t>
  </si>
  <si>
    <t>JKSO:</t>
  </si>
  <si>
    <t>Zpracováno dne:</t>
  </si>
  <si>
    <t>Č</t>
  </si>
  <si>
    <t>Objekt</t>
  </si>
  <si>
    <t>Kód</t>
  </si>
  <si>
    <t>Zkrácený popis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</si>
  <si>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</si>
  <si>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</si>
  <si>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</si>
  <si>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</si>
  <si>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</si>
  <si>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</si>
  <si>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</si>
  <si>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</si>
  <si>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</si>
  <si>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</si>
  <si>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</si>
  <si>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</si>
  <si>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</si>
  <si>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</si>
  <si>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</si>
  <si>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</si>
  <si>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</si>
  <si>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</si>
  <si>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</si>
  <si>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</si>
  <si>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</si>
  <si>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</si>
  <si>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D1-01-4</t>
  </si>
  <si>
    <t>ZTI</t>
  </si>
  <si>
    <t>713552151R00</t>
  </si>
  <si>
    <t>Protipož.trubní ucpávka EI 120, do D 108 mm, strop</t>
  </si>
  <si>
    <t>RTS I / 2022</t>
  </si>
  <si>
    <t>7</t>
  </si>
  <si>
    <t>713_</t>
  </si>
  <si>
    <t>D1-01-4_71_</t>
  </si>
  <si>
    <t>D1-01-4_</t>
  </si>
  <si>
    <t>P</t>
  </si>
  <si>
    <t>8*2</t>
  </si>
  <si>
    <t>721</t>
  </si>
  <si>
    <t>Vnitřní kanalizace</t>
  </si>
  <si>
    <t>721176102R00</t>
  </si>
  <si>
    <t>Potrubí HT připojovací D 40 x 1,8 mm</t>
  </si>
  <si>
    <t>721_</t>
  </si>
  <si>
    <t>D1-01-4_72_</t>
  </si>
  <si>
    <t>22,4</t>
  </si>
  <si>
    <t>721176103R00</t>
  </si>
  <si>
    <t>Potrubí HT připojovací D 50 x 1,8 mm</t>
  </si>
  <si>
    <t>33,2</t>
  </si>
  <si>
    <t>721176104R00</t>
  </si>
  <si>
    <t>Potrubí HT připojovací D 75 x 1,9 mm</t>
  </si>
  <si>
    <t>9,8</t>
  </si>
  <si>
    <t>5</t>
  </si>
  <si>
    <t>721176105R00</t>
  </si>
  <si>
    <t>Potrubí HT připojovací D 110 x 2,7 mm</t>
  </si>
  <si>
    <t>24,8</t>
  </si>
  <si>
    <t>721176114R00</t>
  </si>
  <si>
    <t>Potrubí HT odpadní svislé D 75 x 1,9 mm</t>
  </si>
  <si>
    <t>37,7</t>
  </si>
  <si>
    <t>721176115R00</t>
  </si>
  <si>
    <t>Potrubí HT odpadní svislé D 110 x 2,7 mm</t>
  </si>
  <si>
    <t>62,1</t>
  </si>
  <si>
    <t>8</t>
  </si>
  <si>
    <t>721194104R00</t>
  </si>
  <si>
    <t>Vyvedení odpadních výpustek D 40 x 1,8</t>
  </si>
  <si>
    <t>;umyvadla; 29</t>
  </si>
  <si>
    <t>9</t>
  </si>
  <si>
    <t>721194105R00</t>
  </si>
  <si>
    <t>Vyvedení odpadních výpustek D 50 x 1,8</t>
  </si>
  <si>
    <t>;dřez; 3</t>
  </si>
  <si>
    <t>;pisoár;12</t>
  </si>
  <si>
    <t>;bidet; 3</t>
  </si>
  <si>
    <t>721194109R00</t>
  </si>
  <si>
    <t>Vyvedení odpadních výpustek D 110 x 2,3</t>
  </si>
  <si>
    <t>;wc; 21</t>
  </si>
  <si>
    <t>;výlevka; 3</t>
  </si>
  <si>
    <t>11</t>
  </si>
  <si>
    <t>721290112R00</t>
  </si>
  <si>
    <t>Zkouška těsnosti kanalizace vodou DN 200</t>
  </si>
  <si>
    <t>189,4</t>
  </si>
  <si>
    <t>12</t>
  </si>
  <si>
    <t>721177724R00</t>
  </si>
  <si>
    <t>Čisticí kus , odpadní svislé D 75</t>
  </si>
  <si>
    <t>13</t>
  </si>
  <si>
    <t>721177725R00</t>
  </si>
  <si>
    <t>Čisticí kus , odpadní svislé D 110</t>
  </si>
  <si>
    <t>15</t>
  </si>
  <si>
    <t>721140802R00</t>
  </si>
  <si>
    <t>Demontáž potrubí litinového DN 100</t>
  </si>
  <si>
    <t>203,2</t>
  </si>
  <si>
    <t>16</t>
  </si>
  <si>
    <t>721140935R00</t>
  </si>
  <si>
    <t>Oprava - přechod z plastových trub na litinu DN100</t>
  </si>
  <si>
    <t>;přechod z litiny na plast a obráceně; 28</t>
  </si>
  <si>
    <t>18</t>
  </si>
  <si>
    <t>998721102R00</t>
  </si>
  <si>
    <t>Přesun hmot pro vnitřní kanalizaci, výšky do 12 m</t>
  </si>
  <si>
    <t>722</t>
  </si>
  <si>
    <t>Vnitřní vodovod</t>
  </si>
  <si>
    <t>19</t>
  </si>
  <si>
    <t>722190402R00</t>
  </si>
  <si>
    <t>Vyvedení a upevnění výpustek DN 20</t>
  </si>
  <si>
    <t>722_</t>
  </si>
  <si>
    <t>;dřez; 2</t>
  </si>
  <si>
    <t>;umyvadla; 58</t>
  </si>
  <si>
    <t>;WC; 21</t>
  </si>
  <si>
    <t>;výlevka; 9</t>
  </si>
  <si>
    <t>;bidet. sprška; 6</t>
  </si>
  <si>
    <t>;pisoár; 12</t>
  </si>
  <si>
    <t>20</t>
  </si>
  <si>
    <t>722202212R00</t>
  </si>
  <si>
    <t>Nástěnka 16xR1/2</t>
  </si>
  <si>
    <t>21</t>
  </si>
  <si>
    <t>722172611R00</t>
  </si>
  <si>
    <t>Potrubí z PP RCT, D 20x2,8 mm, PN 16</t>
  </si>
  <si>
    <t>123,62</t>
  </si>
  <si>
    <t>22</t>
  </si>
  <si>
    <t>722172612R00</t>
  </si>
  <si>
    <t>Potrubí z PP RCT, D 25x3,5 mm, PN 16</t>
  </si>
  <si>
    <t>31,84</t>
  </si>
  <si>
    <t>23</t>
  </si>
  <si>
    <t>722172613R00</t>
  </si>
  <si>
    <t>Potrubí z PP RCT, D 32x4,4 mm, PN 16</t>
  </si>
  <si>
    <t>10,2</t>
  </si>
  <si>
    <t>24</t>
  </si>
  <si>
    <t>722172614R00</t>
  </si>
  <si>
    <t>Potrubí z PP RCT , D 40x5,5 mm, PN 16</t>
  </si>
  <si>
    <t>10,7</t>
  </si>
  <si>
    <t>25</t>
  </si>
  <si>
    <t>722280106R00</t>
  </si>
  <si>
    <t>Tlaková zkouška vodovodního potrubí DN 32</t>
  </si>
  <si>
    <t>444,8</t>
  </si>
  <si>
    <t>26</t>
  </si>
  <si>
    <t>722290234R00</t>
  </si>
  <si>
    <t>Proplach a dezinfekce vodovod.potrubí DN 80</t>
  </si>
  <si>
    <t>27</t>
  </si>
  <si>
    <t>722000021VD</t>
  </si>
  <si>
    <t>Pomocný materiál</t>
  </si>
  <si>
    <t>ks</t>
  </si>
  <si>
    <t>RTS I / 2020</t>
  </si>
  <si>
    <t>28</t>
  </si>
  <si>
    <t>722181212RT7</t>
  </si>
  <si>
    <t>Izolace návleková  tl. stěny 9 mm</t>
  </si>
  <si>
    <t>vnitřní průměr 22 mm</t>
  </si>
  <si>
    <t>123,5</t>
  </si>
  <si>
    <t>29</t>
  </si>
  <si>
    <t>722181212RT9</t>
  </si>
  <si>
    <t>vnitřní průměr 28 mm</t>
  </si>
  <si>
    <t>31,8</t>
  </si>
  <si>
    <t>30</t>
  </si>
  <si>
    <t>722182004RT2</t>
  </si>
  <si>
    <t>Montáž izol.skruží na potrubí přímé DN 40,sam.spoj</t>
  </si>
  <si>
    <t>samolepicí spoj a příčné stažení páskou</t>
  </si>
  <si>
    <t>194,1</t>
  </si>
  <si>
    <t>31</t>
  </si>
  <si>
    <t>631433203</t>
  </si>
  <si>
    <t>Pouzdro potrubní Thermo  AluR 35/30 mm</t>
  </si>
  <si>
    <t>M</t>
  </si>
  <si>
    <t>152,4</t>
  </si>
  <si>
    <t>32</t>
  </si>
  <si>
    <t>631433204</t>
  </si>
  <si>
    <t>Pouzdro potrubní Thermo AluR 42/30 mm</t>
  </si>
  <si>
    <t>42,2</t>
  </si>
  <si>
    <t>33</t>
  </si>
  <si>
    <t>722235112R00</t>
  </si>
  <si>
    <t>Kohout vod.kul., DN 20</t>
  </si>
  <si>
    <t>34</t>
  </si>
  <si>
    <t>722235113R00</t>
  </si>
  <si>
    <t>Kohout vod.kul., DN 25</t>
  </si>
  <si>
    <t>35</t>
  </si>
  <si>
    <t>722235111R00</t>
  </si>
  <si>
    <t>Kohout vod.kul DN 15</t>
  </si>
  <si>
    <t>36</t>
  </si>
  <si>
    <t>722235645R00</t>
  </si>
  <si>
    <t>Klapka vod.zpětná  DN 20</t>
  </si>
  <si>
    <t>38</t>
  </si>
  <si>
    <t>734224811R00</t>
  </si>
  <si>
    <t>Ventil vyvažovací,přímý,měř.vent.  DN 15</t>
  </si>
  <si>
    <t>39</t>
  </si>
  <si>
    <t>722235522R00</t>
  </si>
  <si>
    <t>Filtr,vod. DN 15</t>
  </si>
  <si>
    <t>40</t>
  </si>
  <si>
    <t>722181242RY5</t>
  </si>
  <si>
    <t>Izolace návleková akustic tl. stěny 5 mm</t>
  </si>
  <si>
    <t>vnitřní průměr 76 mm, akustická izolace kanal. stoupaček</t>
  </si>
  <si>
    <t>37,3</t>
  </si>
  <si>
    <t>41</t>
  </si>
  <si>
    <t>722181233RZ2</t>
  </si>
  <si>
    <t>vnitřní průměr 110 mm, akustická izolace kanal. stoupaček</t>
  </si>
  <si>
    <t>42</t>
  </si>
  <si>
    <t>722178681R00</t>
  </si>
  <si>
    <t>Potrubí z trub PP-RCT/PP-RCT+CF/PP-RCT , D 20x2,8 mm, S3,2</t>
  </si>
  <si>
    <t>141,6</t>
  </si>
  <si>
    <t>43</t>
  </si>
  <si>
    <t>722178682R00</t>
  </si>
  <si>
    <t>Potrubí z trub PP-RCT/PP-RCT+CF/PP-RCT , D 25x3,5 mm, S3,2</t>
  </si>
  <si>
    <t>10,3</t>
  </si>
  <si>
    <t>44</t>
  </si>
  <si>
    <t>722178683R00</t>
  </si>
  <si>
    <t>Potrubí z trub PP-RCT/PP-RCT+CF/PP-RCT  , D 32x4,4 mm, S3,2</t>
  </si>
  <si>
    <t>21,4</t>
  </si>
  <si>
    <t>46</t>
  </si>
  <si>
    <t>722235141R00</t>
  </si>
  <si>
    <t>Kohout vod.kul.s odvodn. DN 15</t>
  </si>
  <si>
    <t>47</t>
  </si>
  <si>
    <t>722235142R00</t>
  </si>
  <si>
    <t>Kohout vod.kul.s odvodn. DN 20</t>
  </si>
  <si>
    <t>48</t>
  </si>
  <si>
    <t>722235143R00</t>
  </si>
  <si>
    <t>Kohout vod.kul.s odvodn. DN 25</t>
  </si>
  <si>
    <t>49</t>
  </si>
  <si>
    <t>722235144R00</t>
  </si>
  <si>
    <t>Kohout vod.kul.s odvodn. DN 32</t>
  </si>
  <si>
    <t>50</t>
  </si>
  <si>
    <t>722130801R00</t>
  </si>
  <si>
    <t>Demontáž potrubí ocelových závitových DN 25</t>
  </si>
  <si>
    <t>210</t>
  </si>
  <si>
    <t>51</t>
  </si>
  <si>
    <t>722130802R00</t>
  </si>
  <si>
    <t>Demontáž potrubí ocelových závitových DN 40</t>
  </si>
  <si>
    <t>167</t>
  </si>
  <si>
    <t>52</t>
  </si>
  <si>
    <t>998722102R00</t>
  </si>
  <si>
    <t>Přesun hmot pro vnitřní vodovod, výšky do 12 m</t>
  </si>
  <si>
    <t>53</t>
  </si>
  <si>
    <t>725119401R00</t>
  </si>
  <si>
    <t>Montáž předstěnových systémů pro zazdění</t>
  </si>
  <si>
    <t>725_</t>
  </si>
  <si>
    <t>;wc; 3</t>
  </si>
  <si>
    <t>54</t>
  </si>
  <si>
    <t>28696752</t>
  </si>
  <si>
    <t>Tlačítko ovládací plastové  bílá/chrom/bílá</t>
  </si>
  <si>
    <t>55</t>
  </si>
  <si>
    <t>28696750</t>
  </si>
  <si>
    <t>Modul-WC ovl.zepředu</t>
  </si>
  <si>
    <t>56</t>
  </si>
  <si>
    <t>725014131RT1</t>
  </si>
  <si>
    <t>Klozet závěsný + sedátko, bílý</t>
  </si>
  <si>
    <t>včetně sedátka v bílé barvě</t>
  </si>
  <si>
    <t>57</t>
  </si>
  <si>
    <t>725013171R00</t>
  </si>
  <si>
    <t>Klozet kombi,nádrž s armat. hl. 680 mm, bílý</t>
  </si>
  <si>
    <t>58</t>
  </si>
  <si>
    <t>725017123R00</t>
  </si>
  <si>
    <t>Umyvadlo na šrouby hranaté 55 x 45 cm, bílé, bez otvoru pro baterii</t>
  </si>
  <si>
    <t>58a</t>
  </si>
  <si>
    <t>Umyvadlo na šrouby hranaté 55 x 45 cm, bílé s 1 otvorem pro baterii</t>
  </si>
  <si>
    <t>59</t>
  </si>
  <si>
    <t>725860262R00</t>
  </si>
  <si>
    <t>Výpusť umyvadlová , s tlakovým uzávěrem SV1451</t>
  </si>
  <si>
    <t>60</t>
  </si>
  <si>
    <t>725814106R00</t>
  </si>
  <si>
    <t>Ventil rohový s filtrem DN 15 x DN 15</t>
  </si>
  <si>
    <t>;umyvadla; 24*2</t>
  </si>
  <si>
    <t>;WC; 18</t>
  </si>
  <si>
    <t>725825111RT1</t>
  </si>
  <si>
    <t>Baterie umyvadlová nástěnná páková ruční</t>
  </si>
  <si>
    <t>standardní</t>
  </si>
  <si>
    <t>62</t>
  </si>
  <si>
    <t>725823111RT1</t>
  </si>
  <si>
    <t>Baterie umyvadlová stojánková tlačná samouzavírací, bez otevír odpadu</t>
  </si>
  <si>
    <t>725000005VD</t>
  </si>
  <si>
    <t>Pomocný materiál - silikon, hmoždinky, šrouby, atd</t>
  </si>
  <si>
    <t>65</t>
  </si>
  <si>
    <t>725860253R00</t>
  </si>
  <si>
    <t>Sifon umyvadlový plastový</t>
  </si>
  <si>
    <t>65a</t>
  </si>
  <si>
    <t>Sifon umyvadlový nerezový s odolností proti teplotě a chemikáliím</t>
  </si>
  <si>
    <t>0</t>
  </si>
  <si>
    <t>66</t>
  </si>
  <si>
    <t>725860201R00</t>
  </si>
  <si>
    <t>Sifon dřezový, 6/4 "</t>
  </si>
  <si>
    <t>67</t>
  </si>
  <si>
    <t>725835111RT0</t>
  </si>
  <si>
    <t>Baterie vanová nástěnná ruční, bez příslušenství</t>
  </si>
  <si>
    <t>základní</t>
  </si>
  <si>
    <t>;nad výlevkou; 3</t>
  </si>
  <si>
    <t>68</t>
  </si>
  <si>
    <t>725019101R00</t>
  </si>
  <si>
    <t>Výlevka stojící s plastovou mřížkou</t>
  </si>
  <si>
    <t>69</t>
  </si>
  <si>
    <t>725000009VD</t>
  </si>
  <si>
    <t>Bidetová sprška - baterie páková stojánková + sprška</t>
  </si>
  <si>
    <t>D+M</t>
  </si>
  <si>
    <t>70</t>
  </si>
  <si>
    <t>725825114RT1</t>
  </si>
  <si>
    <t>Baterie dřezová páková nástěnná ruční</t>
  </si>
  <si>
    <t>71</t>
  </si>
  <si>
    <t>725015171R00</t>
  </si>
  <si>
    <t>Bidet stojatý, bílý, 1 otvor pro baterii</t>
  </si>
  <si>
    <t>72</t>
  </si>
  <si>
    <t>725122232R00</t>
  </si>
  <si>
    <t xml:space="preserve">Pisoár s radarovým splachovačem a integrovaným zdrojem 230V - keramický pisoár, montážní lišta s radarovým splachovačem, elektromagnetický ventil, propojovací hadice, rohový ventil, speciální vtoková armatura s těsněním, sifon, upevňovací sada, montážní šablona, integrovaný napájecí zdroj </t>
  </si>
  <si>
    <t>73</t>
  </si>
  <si>
    <t>725019121R00</t>
  </si>
  <si>
    <t>Dřez jednoduchý keramický</t>
  </si>
  <si>
    <t>75</t>
  </si>
  <si>
    <t>725119105R00</t>
  </si>
  <si>
    <t>Montáž splachovacích nádrží vysokopoložených</t>
  </si>
  <si>
    <t>76</t>
  </si>
  <si>
    <t>55280042</t>
  </si>
  <si>
    <t>UNI WC nádržka START/STOP</t>
  </si>
  <si>
    <t>77</t>
  </si>
  <si>
    <t>725980122R00</t>
  </si>
  <si>
    <t>Dvířka z plastu, 200 x 300 mm</t>
  </si>
  <si>
    <t>78</t>
  </si>
  <si>
    <t>998725102R00</t>
  </si>
  <si>
    <t>Přesun hmot pro zařizovací předměty, výšky do 12 m</t>
  </si>
  <si>
    <t>79</t>
  </si>
  <si>
    <t>725110814R00</t>
  </si>
  <si>
    <t>Demontáž klozetů kombinovaných</t>
  </si>
  <si>
    <t>80</t>
  </si>
  <si>
    <t>725122813R00</t>
  </si>
  <si>
    <t>Demontáž pisoárů s nádrží + 1 záchodkem</t>
  </si>
  <si>
    <t>81</t>
  </si>
  <si>
    <t>725210821R00</t>
  </si>
  <si>
    <t>Demontáž umyvadel bez výtokových armatur</t>
  </si>
  <si>
    <t>82</t>
  </si>
  <si>
    <t>725210982R00</t>
  </si>
  <si>
    <t>Odmontování zápachové uzávěrky</t>
  </si>
  <si>
    <t>83</t>
  </si>
  <si>
    <t>725230811R00</t>
  </si>
  <si>
    <t>Demontáž bidetů  z diturvitu</t>
  </si>
  <si>
    <t>84</t>
  </si>
  <si>
    <t>725310821R00</t>
  </si>
  <si>
    <t>Demontáž dřezů jednodílných na konzolách</t>
  </si>
  <si>
    <t>85</t>
  </si>
  <si>
    <t>725330820R00</t>
  </si>
  <si>
    <t>Demontáž výlevky diturvitové</t>
  </si>
  <si>
    <t>86</t>
  </si>
  <si>
    <t>725820801R00</t>
  </si>
  <si>
    <t>Demontáž baterie nástěnné do G 3/4</t>
  </si>
  <si>
    <t>87</t>
  </si>
  <si>
    <t>725590812R00</t>
  </si>
  <si>
    <t>Přesun vybour.hmot, zařizovací předměty H 12 m</t>
  </si>
  <si>
    <t>1,72</t>
  </si>
  <si>
    <t>S</t>
  </si>
  <si>
    <t>Přesuny sutí</t>
  </si>
  <si>
    <t>88</t>
  </si>
  <si>
    <t>979011211R00</t>
  </si>
  <si>
    <t>Svislá doprava suti a vybour. hmot za 2.NP nošením</t>
  </si>
  <si>
    <t>S_</t>
  </si>
  <si>
    <t>D1-01-4_9_</t>
  </si>
  <si>
    <t>3,03+0,45+0,83+1,72</t>
  </si>
  <si>
    <t>89</t>
  </si>
  <si>
    <t>6,03</t>
  </si>
  <si>
    <t>90</t>
  </si>
  <si>
    <t>979082318R00</t>
  </si>
  <si>
    <t>Vodorovná doprava suti a hmot po suchu do 6000 m</t>
  </si>
  <si>
    <t>91</t>
  </si>
  <si>
    <t>979082319R00</t>
  </si>
  <si>
    <t>Příplatek k vodor.dopravě po suchu, dalších 1000 m</t>
  </si>
  <si>
    <t>6,03*6</t>
  </si>
  <si>
    <t>92</t>
  </si>
  <si>
    <t>979086213R00</t>
  </si>
  <si>
    <t>Nakládání vybouraných hmot na dopravní prostředek</t>
  </si>
  <si>
    <t>93</t>
  </si>
  <si>
    <t>0,45+0,83</t>
  </si>
  <si>
    <t>979951121R00</t>
  </si>
  <si>
    <t>Výkup kovů - litina, velikost do 40 x 40 cm</t>
  </si>
  <si>
    <t>3,03</t>
  </si>
  <si>
    <t>Celkem:</t>
  </si>
  <si>
    <t>Poznámka:</t>
  </si>
  <si>
    <t>73000</t>
  </si>
  <si>
    <t>Demontáž a zpětná montáž litinového radiátoru s termostatickou hlavicí</t>
  </si>
  <si>
    <t>73001</t>
  </si>
  <si>
    <t xml:space="preserve">Demontáž ocelového potrubí </t>
  </si>
  <si>
    <t>73002</t>
  </si>
  <si>
    <t xml:space="preserve">Vypuštění, napuštění, regulace a odvzdušnění systému topení </t>
  </si>
  <si>
    <t>73003</t>
  </si>
  <si>
    <t>D+M nového rozvodu z ocelového svařovaného potrubí  vč. tvarovek DN20</t>
  </si>
  <si>
    <t>73004</t>
  </si>
  <si>
    <t xml:space="preserve">D+M nové návlekové tepelné izolace prům DN20, tl. 9 mm </t>
  </si>
  <si>
    <t>73005</t>
  </si>
  <si>
    <t xml:space="preserve">D+M kotevních prvků pro litinové radiátory </t>
  </si>
  <si>
    <t>73006</t>
  </si>
  <si>
    <t xml:space="preserve">Nátěr potrubí topení  </t>
  </si>
  <si>
    <t>73007</t>
  </si>
  <si>
    <t>Nátěr a přetěsnění litinového radiátoru š. 150 mm, v. 1000 mm</t>
  </si>
  <si>
    <t>článků</t>
  </si>
  <si>
    <t>73008</t>
  </si>
  <si>
    <t>Požární dozor při svařování</t>
  </si>
  <si>
    <t>P 730T01</t>
  </si>
  <si>
    <t>KRYCÍ LIST SOUPISU</t>
  </si>
  <si>
    <t>v ---  níže se nacházejí doplnkové a pomocné údaje k sestavám  --- v</t>
  </si>
  <si>
    <t xml:space="preserve">Rekonstrukce stoupaček a odpadů </t>
  </si>
  <si>
    <t>Profese:</t>
  </si>
  <si>
    <t>Elektroinstalace – silnoproud</t>
  </si>
  <si>
    <t>Místo:</t>
  </si>
  <si>
    <t>Pavilon 3 - ZŠ Smolkova, Praha 12</t>
  </si>
  <si>
    <t>Zodpovědný projektant:</t>
  </si>
  <si>
    <t>Jiří Flosman</t>
  </si>
  <si>
    <t>Rozpočet zpracoval:</t>
  </si>
  <si>
    <t>konkrétní typy nebo označení jsou pouze referenční</t>
  </si>
  <si>
    <t xml:space="preserve">Při zpracování nabídky je nutné vycházet ze všech částí dokumentace (technické zprávy, výkresové dokumentace). </t>
  </si>
  <si>
    <t xml:space="preserve">Povinností dodavatele je překontrolovat specifikaci materiálu a případný chybějící materiál nebo výkony doplnit a ocenit. </t>
  </si>
  <si>
    <t xml:space="preserve">Součástí ceny musí být veškeré náklady, aby cena byla konečná a zahrnovala celou dodávku a montáž akce. </t>
  </si>
  <si>
    <t xml:space="preserve">Dodávka akce se předpokládá včetně kompletní montáže, veškerého souvisejícího doplňkového, podružného a montážního </t>
  </si>
  <si>
    <t>materiálu tak, aby celé zařízení bylo funkční</t>
  </si>
  <si>
    <t>Cena bez DPH</t>
  </si>
  <si>
    <t>REKAPITULACE ČLENĚNÍ SOUPISU PRACÍ A MATERIÁLU</t>
  </si>
  <si>
    <t>Náklady soupisu celkem</t>
  </si>
  <si>
    <t>-1</t>
  </si>
  <si>
    <t>SOUPIS PRACÍ  A MATERIÁLU</t>
  </si>
  <si>
    <t>Poznámky:</t>
  </si>
  <si>
    <t>pč</t>
  </si>
  <si>
    <t>typ</t>
  </si>
  <si>
    <t>popis</t>
  </si>
  <si>
    <t>poznámka</t>
  </si>
  <si>
    <t>mj</t>
  </si>
  <si>
    <t>cena/mat.</t>
  </si>
  <si>
    <t>cena/montáž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</si>
  <si>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</si>
  <si>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</si>
  <si>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</si>
  <si>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</si>
  <si>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</si>
  <si>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</si>
  <si>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</si>
  <si>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Rozvody 1.NP</t>
  </si>
  <si>
    <t>ROZPOCET</t>
  </si>
  <si>
    <t>CYKY-O 3x1,5</t>
  </si>
  <si>
    <t>CYKY-J 3x1,5</t>
  </si>
  <si>
    <t>instalační lišta 40/40 mm včetně tvarovek a doplňků</t>
  </si>
  <si>
    <t>instalační lišta 40/20 mm vč tvarovek a doplňků</t>
  </si>
  <si>
    <t>Rozvody 2.NP</t>
  </si>
  <si>
    <t>Rozvody 3.NP</t>
  </si>
  <si>
    <t>Rozvaděčová technika</t>
  </si>
  <si>
    <t>Doplnění rozvaděče R1 – instalace nových prvků</t>
  </si>
  <si>
    <t>M+P</t>
  </si>
  <si>
    <t>Proudový chránič s jističem (FI+FA29, FI+FA30)-10A</t>
  </si>
  <si>
    <t>Jistič (FA23) - 16A</t>
  </si>
  <si>
    <t>Instalační stykač (KM58.1, KM58.2)</t>
  </si>
  <si>
    <t>Doplnění rozvaděče R2 – instalace nových prvků</t>
  </si>
  <si>
    <t>Doplnění rozvaděče R3 – instalace nových prvků</t>
  </si>
  <si>
    <t>Elektrické přístroje silnoproud 1.NP</t>
  </si>
  <si>
    <t>Vypínač č.1</t>
  </si>
  <si>
    <t>Vypínač jednopólový č.1 komplet, barva bílá</t>
  </si>
  <si>
    <t>Doběhový spínač</t>
  </si>
  <si>
    <t>Rámečky pro vypínače a zásuvky</t>
  </si>
  <si>
    <t>Drobný montážní materiál</t>
  </si>
  <si>
    <t>Drobný elektroinstalační materiál</t>
  </si>
  <si>
    <t>Štítky a značení</t>
  </si>
  <si>
    <t>Elektrické přístroje silnoproud 2.NP</t>
  </si>
  <si>
    <t>Elektrické přístroje silnoproud 3.NP</t>
  </si>
  <si>
    <t>Osvětlení 1NP</t>
  </si>
  <si>
    <t>Dodávka + montáž (sestavení a zapojení svítidla), SVÍTIDLA DODAT VČETNĚ PŘÍSLUŠENSTVÍ</t>
  </si>
  <si>
    <t>Stropní LED svítidlo přisazené, 25W/3380lm, rozměry: 300x300x70mm, stínítko PC, IP44, 4000K</t>
  </si>
  <si>
    <t>ref.typ: viz tabulka svítidel</t>
  </si>
  <si>
    <t>Stropní LED svítidlo přisazené, 25W/3380lm, rozměry: 300x300x70mm, stínítko PC, IP44, 4000K VČETNĚ POHYBOVÉHO SENZORU, VERZE HF</t>
  </si>
  <si>
    <t>PIR - Stropní přisazený senzor pohybu pro osvětlení, bílý, úhel záběru 360°/120°, dosah až 8m, 10s-15min, 3-2000lx, max.1000W, 230V, IP20, d=110mm, h=27mm</t>
  </si>
  <si>
    <t>Osvětlení 2NP</t>
  </si>
  <si>
    <t>Osvětlení 3NP</t>
  </si>
  <si>
    <t>Montážní a inženýrská činnost</t>
  </si>
  <si>
    <t>Provedení kabelových tras</t>
  </si>
  <si>
    <t>Připojení pisoárů, ventilátorů a provedení doplňujícího pospojení</t>
  </si>
  <si>
    <t>Stavební přípomoce</t>
  </si>
  <si>
    <t>Koordinace s ostatními profesemi</t>
  </si>
  <si>
    <t>Vedlejší náklady spojené s instalací nových prvků ve stávajících rozvaděčích, včetně úpravy stávajících dokumentacích rozvaděčů</t>
  </si>
  <si>
    <t>Výchozí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</si>
</sst>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#,##0.00000"/>
    <numFmt numFmtId="166" formatCode="#,##0.00000;\-#,##0.00000"/>
    <numFmt numFmtId="167" formatCode="#,##0.000;\-#,##0.000"/>
    <numFmt numFmtId="168" formatCode="#,##0.00_ ;\-#,##0.00\ "/>
    <numFmt numFmtId="169" formatCode="#,##0.00\ _K_č"/>
    <numFmt numFmtId="170" formatCode="#,##0.00&quot; Kč&quot;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10"/>
      <name val="Arial"/>
      <family val="2"/>
      <charset val="238"/>
    </font>
    <font>
      <sz val="18"/>
      <color indexed="8"/>
      <name val="Calibri"/>
      <family val="2"/>
      <charset val="1"/>
    </font>
    <font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i/>
      <sz val="10"/>
      <color indexed="8"/>
      <name val="Calibri"/>
      <family val="2"/>
      <charset val="1"/>
    </font>
    <font>
      <i/>
      <sz val="8"/>
      <color indexed="8"/>
      <name val="Calibri"/>
      <family val="2"/>
      <charset val="1"/>
    </font>
    <font>
      <sz val="8"/>
      <name val="Trebuchet MS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rebuchet MS"/>
      <family val="2"/>
      <charset val="238"/>
    </font>
    <font>
      <sz val="9"/>
      <name val="Arial"/>
      <family val="2"/>
      <charset val="1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</borders>
  <cellStyleXfs count="5">
    <xf numFmtId="0" fontId="0" fillId="0" borderId="0"/>
    <xf numFmtId="0" fontId="2" fillId="0" borderId="0"/>
    <xf numFmtId="0" fontId="20" fillId="0" borderId="0"/>
    <xf numFmtId="0" fontId="1" fillId="0" borderId="0"/>
    <xf numFmtId="0" fontId="27" fillId="0" borderId="0">
      <alignment vertical="top" wrapText="1"/>
      <protection locked="0"/>
    </xf>
  </cellStyleXfs>
  <cellXfs count="433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7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9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9" fillId="2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4" borderId="30" xfId="0" applyNumberFormat="1" applyFont="1" applyFill="1" applyBorder="1" applyAlignment="1">
      <alignment vertical="center"/>
    </xf>
    <xf numFmtId="4" fontId="8" fillId="4" borderId="31" xfId="0" applyNumberFormat="1" applyFont="1" applyFill="1" applyBorder="1" applyAlignment="1">
      <alignment vertical="center" wrapText="1"/>
    </xf>
    <xf numFmtId="4" fontId="11" fillId="4" borderId="32" xfId="0" applyNumberFormat="1" applyFont="1" applyFill="1" applyBorder="1" applyAlignment="1">
      <alignment horizontal="center" vertical="center" wrapText="1" shrinkToFit="1"/>
    </xf>
    <xf numFmtId="4" fontId="8" fillId="4" borderId="32" xfId="0" applyNumberFormat="1" applyFont="1" applyFill="1" applyBorder="1" applyAlignment="1">
      <alignment horizontal="center" vertical="center" wrapText="1" shrinkToFit="1"/>
    </xf>
    <xf numFmtId="3" fontId="8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vertical="center" wrapText="1" shrinkToFit="1"/>
    </xf>
    <xf numFmtId="4" fontId="9" fillId="0" borderId="35" xfId="0" applyNumberFormat="1" applyFont="1" applyBorder="1" applyAlignment="1">
      <alignment vertical="center" shrinkToFit="1"/>
    </xf>
    <xf numFmtId="3" fontId="9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8" fillId="0" borderId="33" xfId="0" applyNumberFormat="1" applyFont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164" fontId="8" fillId="0" borderId="35" xfId="0" applyNumberFormat="1" applyFont="1" applyBorder="1" applyAlignment="1">
      <alignment vertical="center"/>
    </xf>
    <xf numFmtId="164" fontId="8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2" borderId="39" xfId="0" applyNumberFormat="1" applyFont="1" applyFill="1" applyBorder="1" applyAlignment="1">
      <alignment horizontal="center" vertical="center"/>
    </xf>
    <xf numFmtId="4" fontId="8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4" fontId="17" fillId="3" borderId="0" xfId="0" applyNumberFormat="1" applyFont="1" applyFill="1" applyAlignment="1" applyProtection="1">
      <alignment vertical="top" shrinkToFit="1"/>
      <protection locked="0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3" borderId="45" xfId="0" applyNumberFormat="1" applyFont="1" applyFill="1" applyBorder="1" applyAlignment="1" applyProtection="1">
      <alignment vertical="top" shrinkToFit="1"/>
      <protection locked="0"/>
    </xf>
    <xf numFmtId="165" fontId="17" fillId="3" borderId="0" xfId="0" applyNumberFormat="1" applyFont="1" applyFill="1" applyAlignment="1" applyProtection="1">
      <alignment vertical="top" shrinkToFit="1"/>
      <protection locked="0"/>
    </xf>
    <xf numFmtId="49" fontId="0" fillId="0" borderId="0" xfId="0" applyNumberFormat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21" xfId="0" applyFill="1" applyBorder="1"/>
    <xf numFmtId="49" fontId="0" fillId="4" borderId="21" xfId="0" applyNumberFormat="1" applyFill="1" applyBorder="1"/>
    <xf numFmtId="0" fontId="0" fillId="4" borderId="21" xfId="0" applyFill="1" applyBorder="1" applyAlignment="1">
      <alignment horizontal="center"/>
    </xf>
    <xf numFmtId="0" fontId="0" fillId="4" borderId="15" xfId="0" applyFill="1" applyBorder="1"/>
    <xf numFmtId="0" fontId="0" fillId="4" borderId="21" xfId="0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2" borderId="29" xfId="0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center" vertical="top" shrinkToFit="1"/>
    </xf>
    <xf numFmtId="165" fontId="9" fillId="2" borderId="18" xfId="0" applyNumberFormat="1" applyFont="1" applyFill="1" applyBorder="1" applyAlignment="1">
      <alignment vertical="top" shrinkToFit="1"/>
    </xf>
    <xf numFmtId="4" fontId="9" fillId="2" borderId="18" xfId="0" applyNumberFormat="1" applyFont="1" applyFill="1" applyBorder="1" applyAlignment="1">
      <alignment vertical="top" shrinkToFit="1"/>
    </xf>
    <xf numFmtId="4" fontId="9" fillId="2" borderId="40" xfId="0" applyNumberFormat="1" applyFont="1" applyFill="1" applyBorder="1" applyAlignment="1">
      <alignment vertical="top" shrinkToFit="1"/>
    </xf>
    <xf numFmtId="4" fontId="9" fillId="2" borderId="0" xfId="0" applyNumberFormat="1" applyFont="1" applyFill="1" applyAlignment="1">
      <alignment vertical="top" shrinkToFit="1"/>
    </xf>
    <xf numFmtId="165" fontId="9" fillId="2" borderId="0" xfId="0" applyNumberFormat="1" applyFont="1" applyFill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17" fillId="3" borderId="0" xfId="0" applyNumberFormat="1" applyFont="1" applyFill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vertical="top" shrinkToFit="1"/>
    </xf>
    <xf numFmtId="0" fontId="17" fillId="0" borderId="0" xfId="0" applyFont="1"/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8" fillId="0" borderId="0" xfId="0" quotePrefix="1" applyNumberFormat="1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49" fontId="17" fillId="0" borderId="45" xfId="0" applyNumberFormat="1" applyFont="1" applyBorder="1" applyAlignment="1">
      <alignment horizontal="left" vertical="top" wrapText="1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165" fontId="19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shrinkToFit="1"/>
    </xf>
    <xf numFmtId="49" fontId="0" fillId="0" borderId="0" xfId="0" applyNumberFormat="1" applyAlignment="1">
      <alignment horizontal="left" vertical="top" wrapText="1"/>
    </xf>
    <xf numFmtId="0" fontId="9" fillId="2" borderId="15" xfId="0" applyFont="1" applyFill="1" applyBorder="1" applyAlignment="1">
      <alignment vertical="top"/>
    </xf>
    <xf numFmtId="49" fontId="9" fillId="2" borderId="12" xfId="0" applyNumberFormat="1" applyFont="1" applyFill="1" applyBorder="1" applyAlignment="1">
      <alignment vertical="top"/>
    </xf>
    <xf numFmtId="49" fontId="9" fillId="2" borderId="12" xfId="0" applyNumberFormat="1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vertical="top"/>
    </xf>
    <xf numFmtId="4" fontId="9" fillId="2" borderId="22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4" fontId="17" fillId="0" borderId="0" xfId="0" applyNumberFormat="1" applyFont="1" applyAlignment="1" applyProtection="1">
      <alignment vertical="top" shrinkToFit="1"/>
      <protection locked="0"/>
    </xf>
    <xf numFmtId="4" fontId="9" fillId="2" borderId="18" xfId="0" applyNumberFormat="1" applyFont="1" applyFill="1" applyBorder="1" applyAlignment="1" applyProtection="1">
      <alignment vertical="top" shrinkToFit="1"/>
      <protection locked="0"/>
    </xf>
    <xf numFmtId="49" fontId="8" fillId="0" borderId="33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9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2" borderId="7" xfId="0" applyNumberFormat="1" applyFont="1" applyFill="1" applyBorder="1" applyAlignment="1">
      <alignment horizontal="right" vertical="center"/>
    </xf>
    <xf numFmtId="2" fontId="13" fillId="2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9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40" xfId="0" applyFill="1" applyBorder="1" applyAlignment="1">
      <alignment vertical="top" wrapText="1"/>
    </xf>
    <xf numFmtId="0" fontId="0" fillId="3" borderId="26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28" xfId="0" applyFill="1" applyBorder="1" applyAlignment="1">
      <alignment vertical="top" wrapText="1"/>
    </xf>
    <xf numFmtId="49" fontId="21" fillId="0" borderId="47" xfId="2" applyNumberFormat="1" applyFont="1" applyBorder="1" applyAlignment="1">
      <alignment horizontal="center"/>
    </xf>
    <xf numFmtId="0" fontId="22" fillId="0" borderId="0" xfId="2" applyFont="1"/>
    <xf numFmtId="0" fontId="23" fillId="0" borderId="48" xfId="2" applyFont="1" applyBorder="1" applyAlignment="1">
      <alignment horizontal="left" vertical="center" wrapText="1"/>
    </xf>
    <xf numFmtId="0" fontId="24" fillId="0" borderId="49" xfId="2" applyFont="1" applyBorder="1" applyAlignment="1">
      <alignment horizontal="left" vertical="center" wrapText="1"/>
    </xf>
    <xf numFmtId="49" fontId="23" fillId="0" borderId="49" xfId="2" applyNumberFormat="1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 wrapText="1"/>
    </xf>
    <xf numFmtId="49" fontId="23" fillId="0" borderId="50" xfId="2" applyNumberFormat="1" applyFont="1" applyBorder="1" applyAlignment="1">
      <alignment horizontal="left" vertical="center"/>
    </xf>
    <xf numFmtId="0" fontId="23" fillId="0" borderId="51" xfId="2" applyFont="1" applyBorder="1" applyAlignment="1">
      <alignment vertical="center"/>
    </xf>
    <xf numFmtId="0" fontId="23" fillId="0" borderId="51" xfId="2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49" fontId="23" fillId="0" borderId="0" xfId="2" applyNumberFormat="1" applyFont="1" applyAlignment="1">
      <alignment horizontal="left" vertical="center"/>
    </xf>
    <xf numFmtId="49" fontId="23" fillId="0" borderId="52" xfId="2" applyNumberFormat="1" applyFont="1" applyBorder="1" applyAlignment="1">
      <alignment horizontal="left" vertical="center"/>
    </xf>
    <xf numFmtId="0" fontId="23" fillId="0" borderId="53" xfId="2" applyFont="1" applyBorder="1" applyAlignment="1">
      <alignment horizontal="left" vertical="center" wrapText="1"/>
    </xf>
    <xf numFmtId="0" fontId="23" fillId="0" borderId="54" xfId="2" applyFont="1" applyBorder="1" applyAlignment="1">
      <alignment horizontal="left" vertical="center" wrapText="1"/>
    </xf>
    <xf numFmtId="49" fontId="23" fillId="0" borderId="54" xfId="2" applyNumberFormat="1" applyFont="1" applyBorder="1" applyAlignment="1">
      <alignment horizontal="left" vertical="center"/>
    </xf>
    <xf numFmtId="0" fontId="23" fillId="0" borderId="55" xfId="2" applyFont="1" applyBorder="1" applyAlignment="1">
      <alignment horizontal="left" vertical="center" wrapText="1"/>
    </xf>
    <xf numFmtId="49" fontId="24" fillId="0" borderId="56" xfId="2" applyNumberFormat="1" applyFont="1" applyBorder="1" applyAlignment="1">
      <alignment horizontal="left" vertical="center"/>
    </xf>
    <xf numFmtId="49" fontId="24" fillId="0" borderId="57" xfId="2" applyNumberFormat="1" applyFont="1" applyBorder="1" applyAlignment="1">
      <alignment horizontal="left" vertical="center"/>
    </xf>
    <xf numFmtId="49" fontId="24" fillId="0" borderId="57" xfId="2" applyNumberFormat="1" applyFont="1" applyBorder="1" applyAlignment="1">
      <alignment horizontal="left" vertical="center"/>
    </xf>
    <xf numFmtId="49" fontId="24" fillId="0" borderId="57" xfId="2" applyNumberFormat="1" applyFont="1" applyBorder="1" applyAlignment="1">
      <alignment horizontal="center" vertical="center"/>
    </xf>
    <xf numFmtId="49" fontId="24" fillId="0" borderId="58" xfId="2" applyNumberFormat="1" applyFont="1" applyBorder="1" applyAlignment="1">
      <alignment horizontal="center" vertical="center"/>
    </xf>
    <xf numFmtId="49" fontId="24" fillId="0" borderId="59" xfId="2" applyNumberFormat="1" applyFont="1" applyBorder="1" applyAlignment="1">
      <alignment horizontal="center" vertical="center"/>
    </xf>
    <xf numFmtId="49" fontId="24" fillId="0" borderId="60" xfId="2" applyNumberFormat="1" applyFont="1" applyBorder="1" applyAlignment="1">
      <alignment horizontal="center" vertical="center"/>
    </xf>
    <xf numFmtId="0" fontId="23" fillId="0" borderId="61" xfId="2" applyFont="1" applyBorder="1" applyAlignment="1">
      <alignment vertical="center"/>
    </xf>
    <xf numFmtId="49" fontId="24" fillId="5" borderId="0" xfId="2" applyNumberFormat="1" applyFont="1" applyFill="1" applyAlignment="1">
      <alignment horizontal="right" vertical="center"/>
    </xf>
    <xf numFmtId="49" fontId="24" fillId="0" borderId="0" xfId="2" applyNumberFormat="1" applyFont="1" applyAlignment="1">
      <alignment horizontal="right" vertical="center"/>
    </xf>
    <xf numFmtId="49" fontId="23" fillId="0" borderId="62" xfId="2" applyNumberFormat="1" applyFont="1" applyBorder="1" applyAlignment="1">
      <alignment horizontal="left" vertical="center"/>
    </xf>
    <xf numFmtId="49" fontId="23" fillId="0" borderId="63" xfId="2" applyNumberFormat="1" applyFont="1" applyBorder="1" applyAlignment="1">
      <alignment horizontal="left" vertical="center"/>
    </xf>
    <xf numFmtId="49" fontId="24" fillId="0" borderId="63" xfId="2" applyNumberFormat="1" applyFont="1" applyBorder="1" applyAlignment="1">
      <alignment horizontal="left" vertical="center"/>
    </xf>
    <xf numFmtId="49" fontId="24" fillId="0" borderId="64" xfId="2" applyNumberFormat="1" applyFont="1" applyBorder="1" applyAlignment="1">
      <alignment horizontal="center" vertical="center"/>
    </xf>
    <xf numFmtId="49" fontId="24" fillId="0" borderId="65" xfId="2" applyNumberFormat="1" applyFont="1" applyBorder="1" applyAlignment="1">
      <alignment horizontal="center" vertical="center"/>
    </xf>
    <xf numFmtId="49" fontId="24" fillId="0" borderId="66" xfId="2" applyNumberFormat="1" applyFont="1" applyBorder="1" applyAlignment="1">
      <alignment horizontal="center" vertical="center"/>
    </xf>
    <xf numFmtId="49" fontId="24" fillId="0" borderId="67" xfId="2" applyNumberFormat="1" applyFont="1" applyBorder="1" applyAlignment="1">
      <alignment horizontal="center" vertical="center"/>
    </xf>
    <xf numFmtId="49" fontId="24" fillId="0" borderId="68" xfId="2" applyNumberFormat="1" applyFont="1" applyBorder="1" applyAlignment="1">
      <alignment horizontal="center" vertical="center"/>
    </xf>
    <xf numFmtId="49" fontId="23" fillId="5" borderId="69" xfId="2" applyNumberFormat="1" applyFont="1" applyFill="1" applyBorder="1" applyAlignment="1">
      <alignment horizontal="left" vertical="center"/>
    </xf>
    <xf numFmtId="49" fontId="24" fillId="5" borderId="70" xfId="2" applyNumberFormat="1" applyFont="1" applyFill="1" applyBorder="1" applyAlignment="1">
      <alignment horizontal="left" vertical="center"/>
    </xf>
    <xf numFmtId="49" fontId="24" fillId="5" borderId="70" xfId="2" applyNumberFormat="1" applyFont="1" applyFill="1" applyBorder="1" applyAlignment="1">
      <alignment horizontal="left" vertical="center"/>
    </xf>
    <xf numFmtId="49" fontId="23" fillId="5" borderId="70" xfId="2" applyNumberFormat="1" applyFont="1" applyFill="1" applyBorder="1" applyAlignment="1">
      <alignment horizontal="left" vertical="center"/>
    </xf>
    <xf numFmtId="4" fontId="24" fillId="5" borderId="70" xfId="2" applyNumberFormat="1" applyFont="1" applyFill="1" applyBorder="1" applyAlignment="1">
      <alignment horizontal="right" vertical="center"/>
    </xf>
    <xf numFmtId="49" fontId="24" fillId="5" borderId="70" xfId="2" applyNumberFormat="1" applyFont="1" applyFill="1" applyBorder="1" applyAlignment="1">
      <alignment horizontal="right" vertical="center"/>
    </xf>
    <xf numFmtId="49" fontId="24" fillId="5" borderId="71" xfId="2" applyNumberFormat="1" applyFont="1" applyFill="1" applyBorder="1" applyAlignment="1">
      <alignment horizontal="right" vertical="center"/>
    </xf>
    <xf numFmtId="49" fontId="23" fillId="5" borderId="51" xfId="2" applyNumberFormat="1" applyFont="1" applyFill="1" applyBorder="1" applyAlignment="1">
      <alignment horizontal="left" vertical="center"/>
    </xf>
    <xf numFmtId="49" fontId="24" fillId="5" borderId="0" xfId="2" applyNumberFormat="1" applyFont="1" applyFill="1" applyAlignment="1">
      <alignment horizontal="left" vertical="center"/>
    </xf>
    <xf numFmtId="49" fontId="24" fillId="5" borderId="0" xfId="2" applyNumberFormat="1" applyFont="1" applyFill="1" applyAlignment="1">
      <alignment horizontal="left" vertical="center"/>
    </xf>
    <xf numFmtId="49" fontId="23" fillId="5" borderId="0" xfId="2" applyNumberFormat="1" applyFont="1" applyFill="1" applyAlignment="1">
      <alignment horizontal="left" vertical="center"/>
    </xf>
    <xf numFmtId="4" fontId="24" fillId="5" borderId="0" xfId="2" applyNumberFormat="1" applyFont="1" applyFill="1" applyAlignment="1">
      <alignment horizontal="right" vertical="center"/>
    </xf>
    <xf numFmtId="49" fontId="24" fillId="5" borderId="52" xfId="2" applyNumberFormat="1" applyFont="1" applyFill="1" applyBorder="1" applyAlignment="1">
      <alignment horizontal="right" vertical="center"/>
    </xf>
    <xf numFmtId="49" fontId="23" fillId="0" borderId="51" xfId="2" applyNumberFormat="1" applyFont="1" applyBorder="1" applyAlignment="1">
      <alignment horizontal="left" vertical="center"/>
    </xf>
    <xf numFmtId="49" fontId="23" fillId="0" borderId="0" xfId="2" applyNumberFormat="1" applyFont="1" applyAlignment="1">
      <alignment horizontal="left" vertical="center"/>
    </xf>
    <xf numFmtId="4" fontId="23" fillId="0" borderId="0" xfId="2" applyNumberFormat="1" applyFont="1" applyAlignment="1">
      <alignment horizontal="right" vertical="center"/>
    </xf>
    <xf numFmtId="49" fontId="23" fillId="0" borderId="52" xfId="2" applyNumberFormat="1" applyFont="1" applyBorder="1" applyAlignment="1">
      <alignment horizontal="right" vertical="center"/>
    </xf>
    <xf numFmtId="49" fontId="23" fillId="0" borderId="0" xfId="2" applyNumberFormat="1" applyFont="1" applyAlignment="1">
      <alignment horizontal="right" vertical="center"/>
    </xf>
    <xf numFmtId="49" fontId="25" fillId="0" borderId="0" xfId="2" applyNumberFormat="1" applyFont="1" applyAlignment="1">
      <alignment horizontal="left" vertical="center"/>
    </xf>
    <xf numFmtId="4" fontId="25" fillId="0" borderId="0" xfId="2" applyNumberFormat="1" applyFont="1" applyAlignment="1">
      <alignment horizontal="right" vertical="center"/>
    </xf>
    <xf numFmtId="0" fontId="23" fillId="0" borderId="52" xfId="2" applyFont="1" applyBorder="1" applyAlignment="1">
      <alignment vertical="center"/>
    </xf>
    <xf numFmtId="0" fontId="25" fillId="0" borderId="0" xfId="2" applyFont="1" applyAlignment="1">
      <alignment horizontal="left" vertical="center" wrapText="1"/>
    </xf>
    <xf numFmtId="0" fontId="23" fillId="0" borderId="0" xfId="2" applyFont="1" applyAlignment="1">
      <alignment vertical="center"/>
    </xf>
    <xf numFmtId="49" fontId="23" fillId="0" borderId="0" xfId="2" applyNumberFormat="1" applyFont="1" applyAlignment="1">
      <alignment horizontal="left" vertical="center" wrapText="1"/>
    </xf>
    <xf numFmtId="0" fontId="23" fillId="0" borderId="72" xfId="2" applyFont="1" applyBorder="1" applyAlignment="1">
      <alignment vertical="center"/>
    </xf>
    <xf numFmtId="0" fontId="23" fillId="0" borderId="47" xfId="2" applyFont="1" applyBorder="1" applyAlignment="1">
      <alignment vertical="center"/>
    </xf>
    <xf numFmtId="49" fontId="25" fillId="0" borderId="47" xfId="2" applyNumberFormat="1" applyFont="1" applyBorder="1" applyAlignment="1">
      <alignment horizontal="left" vertical="center"/>
    </xf>
    <xf numFmtId="4" fontId="25" fillId="0" borderId="47" xfId="2" applyNumberFormat="1" applyFont="1" applyBorder="1" applyAlignment="1">
      <alignment horizontal="right" vertical="center"/>
    </xf>
    <xf numFmtId="0" fontId="23" fillId="0" borderId="73" xfId="2" applyFont="1" applyBorder="1" applyAlignment="1">
      <alignment vertical="center"/>
    </xf>
    <xf numFmtId="0" fontId="23" fillId="0" borderId="49" xfId="2" applyFont="1" applyBorder="1" applyAlignment="1">
      <alignment vertical="center"/>
    </xf>
    <xf numFmtId="49" fontId="24" fillId="0" borderId="49" xfId="2" applyNumberFormat="1" applyFont="1" applyBorder="1" applyAlignment="1">
      <alignment horizontal="left" vertical="center"/>
    </xf>
    <xf numFmtId="4" fontId="24" fillId="0" borderId="49" xfId="2" applyNumberFormat="1" applyFont="1" applyBorder="1" applyAlignment="1">
      <alignment horizontal="right" vertical="center"/>
    </xf>
    <xf numFmtId="49" fontId="26" fillId="0" borderId="0" xfId="2" applyNumberFormat="1" applyFont="1" applyAlignment="1">
      <alignment horizontal="left" vertical="center"/>
    </xf>
    <xf numFmtId="4" fontId="17" fillId="3" borderId="45" xfId="3" applyNumberFormat="1" applyFont="1" applyFill="1" applyBorder="1" applyAlignment="1" applyProtection="1">
      <alignment vertical="top" shrinkToFit="1"/>
      <protection locked="0"/>
    </xf>
    <xf numFmtId="4" fontId="17" fillId="3" borderId="42" xfId="3" applyNumberFormat="1" applyFont="1" applyFill="1" applyBorder="1" applyAlignment="1" applyProtection="1">
      <alignment vertical="top" shrinkToFit="1"/>
      <protection locked="0"/>
    </xf>
    <xf numFmtId="0" fontId="20" fillId="0" borderId="0" xfId="4" applyFont="1" applyAlignment="1" applyProtection="1">
      <alignment horizontal="left" vertical="top"/>
    </xf>
    <xf numFmtId="0" fontId="28" fillId="0" borderId="0" xfId="4" applyFont="1" applyAlignment="1" applyProtection="1">
      <alignment horizontal="left" vertical="center"/>
    </xf>
    <xf numFmtId="0" fontId="20" fillId="0" borderId="0" xfId="4" applyFont="1" applyAlignment="1" applyProtection="1">
      <alignment horizontal="left" vertical="center"/>
    </xf>
    <xf numFmtId="0" fontId="28" fillId="0" borderId="0" xfId="4" applyFont="1" applyAlignment="1" applyProtection="1">
      <alignment horizontal="left" vertical="center"/>
    </xf>
    <xf numFmtId="0" fontId="29" fillId="0" borderId="0" xfId="4" applyFont="1" applyProtection="1">
      <alignment vertical="top" wrapText="1"/>
    </xf>
    <xf numFmtId="0" fontId="27" fillId="0" borderId="0" xfId="4" applyAlignment="1" applyProtection="1">
      <alignment horizontal="left" vertical="top" wrapText="1"/>
    </xf>
    <xf numFmtId="0" fontId="20" fillId="0" borderId="0" xfId="4" applyFont="1" applyAlignment="1" applyProtection="1">
      <alignment horizontal="left" vertical="center" wrapText="1"/>
    </xf>
    <xf numFmtId="0" fontId="20" fillId="0" borderId="0" xfId="4" applyFont="1" applyAlignment="1" applyProtection="1">
      <alignment horizontal="left" vertical="center" wrapText="1"/>
    </xf>
    <xf numFmtId="0" fontId="30" fillId="0" borderId="0" xfId="4" applyFont="1" applyAlignment="1" applyProtection="1">
      <alignment horizontal="left" vertical="center"/>
    </xf>
    <xf numFmtId="39" fontId="28" fillId="0" borderId="0" xfId="4" applyNumberFormat="1" applyFont="1" applyAlignment="1" applyProtection="1">
      <alignment horizontal="left" vertical="center"/>
    </xf>
    <xf numFmtId="39" fontId="30" fillId="0" borderId="0" xfId="4" applyNumberFormat="1" applyFont="1" applyAlignment="1" applyProtection="1">
      <alignment horizontal="left" vertical="center"/>
    </xf>
    <xf numFmtId="39" fontId="20" fillId="0" borderId="0" xfId="4" applyNumberFormat="1" applyFont="1" applyAlignment="1" applyProtection="1">
      <alignment horizontal="left" vertical="center"/>
    </xf>
    <xf numFmtId="0" fontId="31" fillId="0" borderId="0" xfId="4" applyFont="1" applyAlignment="1" applyProtection="1">
      <alignment horizontal="left" vertical="center"/>
    </xf>
    <xf numFmtId="0" fontId="32" fillId="0" borderId="0" xfId="4" applyFont="1" applyAlignment="1" applyProtection="1">
      <alignment horizontal="left" vertical="center"/>
    </xf>
    <xf numFmtId="0" fontId="33" fillId="0" borderId="0" xfId="4" applyFont="1" applyAlignment="1" applyProtection="1">
      <alignment horizontal="left" vertical="center"/>
    </xf>
    <xf numFmtId="0" fontId="32" fillId="0" borderId="0" xfId="4" applyFont="1" applyBorder="1" applyAlignment="1" applyProtection="1">
      <alignment horizontal="left" vertical="center"/>
    </xf>
    <xf numFmtId="39" fontId="28" fillId="0" borderId="0" xfId="4" applyNumberFormat="1" applyFont="1" applyAlignment="1" applyProtection="1">
      <alignment horizontal="left"/>
    </xf>
    <xf numFmtId="166" fontId="20" fillId="0" borderId="0" xfId="4" applyNumberFormat="1" applyFont="1" applyAlignment="1" applyProtection="1">
      <alignment horizontal="left"/>
    </xf>
    <xf numFmtId="49" fontId="28" fillId="0" borderId="0" xfId="4" applyNumberFormat="1" applyFont="1" applyAlignment="1" applyProtection="1">
      <alignment horizontal="left" vertical="center" wrapText="1"/>
    </xf>
    <xf numFmtId="0" fontId="28" fillId="0" borderId="0" xfId="4" applyFont="1" applyAlignment="1" applyProtection="1">
      <alignment horizontal="left" vertical="center" wrapText="1"/>
    </xf>
    <xf numFmtId="167" fontId="28" fillId="0" borderId="0" xfId="4" applyNumberFormat="1" applyFont="1" applyAlignment="1" applyProtection="1">
      <alignment horizontal="left" vertical="center"/>
    </xf>
    <xf numFmtId="166" fontId="28" fillId="0" borderId="0" xfId="4" applyNumberFormat="1" applyFont="1" applyAlignment="1" applyProtection="1">
      <alignment horizontal="left" vertical="center" wrapText="1"/>
    </xf>
    <xf numFmtId="0" fontId="28" fillId="6" borderId="74" xfId="4" applyFont="1" applyFill="1" applyBorder="1" applyAlignment="1" applyProtection="1">
      <alignment horizontal="left"/>
    </xf>
    <xf numFmtId="0" fontId="20" fillId="6" borderId="74" xfId="4" applyFont="1" applyFill="1" applyBorder="1" applyAlignment="1" applyProtection="1">
      <alignment horizontal="left"/>
    </xf>
    <xf numFmtId="168" fontId="28" fillId="6" borderId="74" xfId="4" applyNumberFormat="1" applyFont="1" applyFill="1" applyBorder="1" applyAlignment="1" applyProtection="1">
      <alignment horizontal="left"/>
    </xf>
    <xf numFmtId="0" fontId="20" fillId="0" borderId="0" xfId="4" applyFont="1" applyAlignment="1" applyProtection="1">
      <alignment horizontal="left"/>
    </xf>
    <xf numFmtId="0" fontId="34" fillId="0" borderId="0" xfId="4" applyFont="1" applyAlignment="1" applyProtection="1">
      <alignment horizontal="left" vertical="center"/>
    </xf>
    <xf numFmtId="49" fontId="35" fillId="0" borderId="0" xfId="4" applyNumberFormat="1" applyFont="1" applyAlignment="1" applyProtection="1">
      <alignment horizontal="left" vertical="center" wrapText="1"/>
    </xf>
    <xf numFmtId="0" fontId="35" fillId="0" borderId="0" xfId="4" applyFont="1" applyAlignment="1" applyProtection="1">
      <alignment horizontal="left" vertical="center" wrapText="1"/>
    </xf>
    <xf numFmtId="167" fontId="35" fillId="0" borderId="0" xfId="4" applyNumberFormat="1" applyFont="1" applyAlignment="1" applyProtection="1">
      <alignment horizontal="left" vertical="center"/>
    </xf>
    <xf numFmtId="39" fontId="34" fillId="0" borderId="0" xfId="4" applyNumberFormat="1" applyFont="1" applyAlignment="1" applyProtection="1">
      <alignment horizontal="left" vertical="center"/>
    </xf>
    <xf numFmtId="0" fontId="34" fillId="0" borderId="0" xfId="4" applyFont="1" applyAlignment="1" applyProtection="1">
      <alignment horizontal="left" vertical="center" wrapText="1"/>
    </xf>
    <xf numFmtId="166" fontId="34" fillId="0" borderId="0" xfId="4" applyNumberFormat="1" applyFont="1" applyAlignment="1" applyProtection="1">
      <alignment horizontal="left" vertical="center"/>
    </xf>
    <xf numFmtId="49" fontId="34" fillId="0" borderId="0" xfId="4" applyNumberFormat="1" applyFont="1" applyAlignment="1" applyProtection="1">
      <alignment horizontal="left" vertical="center" wrapText="1"/>
    </xf>
    <xf numFmtId="167" fontId="34" fillId="0" borderId="0" xfId="4" applyNumberFormat="1" applyFont="1" applyAlignment="1" applyProtection="1">
      <alignment horizontal="left" vertical="center"/>
    </xf>
    <xf numFmtId="0" fontId="28" fillId="6" borderId="0" xfId="4" applyFont="1" applyFill="1" applyAlignment="1" applyProtection="1">
      <alignment horizontal="left"/>
    </xf>
    <xf numFmtId="0" fontId="20" fillId="6" borderId="0" xfId="4" applyFont="1" applyFill="1" applyAlignment="1" applyProtection="1">
      <alignment horizontal="left"/>
    </xf>
    <xf numFmtId="168" fontId="28" fillId="6" borderId="0" xfId="4" applyNumberFormat="1" applyFont="1" applyFill="1" applyAlignment="1" applyProtection="1">
      <alignment horizontal="left"/>
    </xf>
    <xf numFmtId="39" fontId="35" fillId="0" borderId="75" xfId="4" applyNumberFormat="1" applyFont="1" applyBorder="1" applyAlignment="1" applyProtection="1">
      <alignment horizontal="left" vertical="center"/>
    </xf>
    <xf numFmtId="0" fontId="28" fillId="0" borderId="74" xfId="4" applyFont="1" applyBorder="1" applyAlignment="1" applyProtection="1">
      <alignment horizontal="left"/>
    </xf>
    <xf numFmtId="0" fontId="20" fillId="0" borderId="74" xfId="4" applyFont="1" applyBorder="1" applyAlignment="1" applyProtection="1">
      <alignment horizontal="left"/>
    </xf>
    <xf numFmtId="168" fontId="28" fillId="0" borderId="74" xfId="4" applyNumberFormat="1" applyFont="1" applyBorder="1" applyAlignment="1" applyProtection="1">
      <alignment horizontal="left"/>
    </xf>
    <xf numFmtId="0" fontId="36" fillId="0" borderId="0" xfId="4" applyFont="1" applyAlignment="1" applyProtection="1">
      <alignment horizontal="left" vertical="center"/>
    </xf>
    <xf numFmtId="49" fontId="36" fillId="0" borderId="0" xfId="4" applyNumberFormat="1" applyFont="1" applyAlignment="1" applyProtection="1">
      <alignment horizontal="left" vertical="center" wrapText="1"/>
    </xf>
    <xf numFmtId="0" fontId="36" fillId="0" borderId="0" xfId="4" applyFont="1" applyAlignment="1" applyProtection="1">
      <alignment horizontal="left" vertical="center" wrapText="1"/>
    </xf>
    <xf numFmtId="167" fontId="36" fillId="0" borderId="0" xfId="4" applyNumberFormat="1" applyFont="1" applyAlignment="1" applyProtection="1">
      <alignment horizontal="left" vertical="center"/>
    </xf>
    <xf numFmtId="39" fontId="36" fillId="0" borderId="0" xfId="4" applyNumberFormat="1" applyFont="1" applyAlignment="1" applyProtection="1">
      <alignment horizontal="left" vertical="center"/>
    </xf>
    <xf numFmtId="166" fontId="36" fillId="0" borderId="0" xfId="4" applyNumberFormat="1" applyFont="1" applyAlignment="1" applyProtection="1">
      <alignment horizontal="left" vertical="center"/>
    </xf>
    <xf numFmtId="49" fontId="36" fillId="0" borderId="0" xfId="4" applyNumberFormat="1" applyFont="1" applyAlignment="1" applyProtection="1">
      <alignment horizontal="left" vertical="center" wrapText="1"/>
    </xf>
    <xf numFmtId="0" fontId="37" fillId="0" borderId="0" xfId="4" applyFont="1" applyAlignment="1" applyProtection="1">
      <alignment horizontal="left"/>
    </xf>
    <xf numFmtId="168" fontId="37" fillId="0" borderId="0" xfId="4" applyNumberFormat="1" applyFont="1" applyAlignment="1" applyProtection="1">
      <alignment horizontal="left"/>
    </xf>
    <xf numFmtId="166" fontId="37" fillId="0" borderId="0" xfId="4" applyNumberFormat="1" applyFont="1" applyAlignment="1" applyProtection="1">
      <alignment horizontal="left"/>
    </xf>
    <xf numFmtId="39" fontId="37" fillId="0" borderId="0" xfId="4" applyNumberFormat="1" applyFont="1" applyAlignment="1" applyProtection="1">
      <alignment horizontal="left" vertical="center"/>
    </xf>
    <xf numFmtId="170" fontId="34" fillId="0" borderId="0" xfId="4" applyNumberFormat="1" applyFont="1" applyAlignment="1" applyProtection="1">
      <alignment horizontal="left" vertical="center"/>
    </xf>
    <xf numFmtId="39" fontId="35" fillId="0" borderId="0" xfId="4" applyNumberFormat="1" applyFont="1" applyBorder="1" applyAlignment="1" applyProtection="1">
      <alignment horizontal="left" vertical="center"/>
      <protection locked="0"/>
    </xf>
    <xf numFmtId="39" fontId="34" fillId="0" borderId="0" xfId="4" applyNumberFormat="1" applyFont="1" applyAlignment="1" applyProtection="1">
      <alignment horizontal="left" vertical="center"/>
      <protection locked="0"/>
    </xf>
    <xf numFmtId="0" fontId="20" fillId="6" borderId="74" xfId="4" applyFont="1" applyFill="1" applyBorder="1" applyAlignment="1" applyProtection="1">
      <alignment horizontal="left"/>
      <protection locked="0"/>
    </xf>
    <xf numFmtId="39" fontId="35" fillId="0" borderId="76" xfId="4" applyNumberFormat="1" applyFont="1" applyBorder="1" applyAlignment="1" applyProtection="1">
      <alignment horizontal="left" vertical="center"/>
      <protection locked="0"/>
    </xf>
    <xf numFmtId="0" fontId="20" fillId="6" borderId="0" xfId="4" applyFont="1" applyFill="1" applyAlignment="1" applyProtection="1">
      <alignment horizontal="left"/>
      <protection locked="0"/>
    </xf>
    <xf numFmtId="0" fontId="20" fillId="0" borderId="74" xfId="4" applyFont="1" applyBorder="1" applyAlignment="1" applyProtection="1">
      <alignment horizontal="left"/>
      <protection locked="0"/>
    </xf>
    <xf numFmtId="39" fontId="36" fillId="0" borderId="0" xfId="4" applyNumberFormat="1" applyFont="1" applyAlignment="1" applyProtection="1">
      <alignment horizontal="left" vertical="center"/>
      <protection locked="0"/>
    </xf>
    <xf numFmtId="169" fontId="36" fillId="0" borderId="0" xfId="4" applyNumberFormat="1" applyFont="1" applyAlignment="1" applyProtection="1">
      <alignment horizontal="left" vertical="center"/>
      <protection locked="0"/>
    </xf>
    <xf numFmtId="0" fontId="37" fillId="0" borderId="0" xfId="4" applyFont="1" applyAlignment="1" applyProtection="1">
      <alignment horizontal="left"/>
      <protection locked="0"/>
    </xf>
    <xf numFmtId="164" fontId="34" fillId="0" borderId="0" xfId="4" applyNumberFormat="1" applyFont="1" applyAlignment="1" applyProtection="1">
      <alignment horizontal="left" vertical="center"/>
      <protection locked="0"/>
    </xf>
    <xf numFmtId="0" fontId="9" fillId="2" borderId="29" xfId="3" applyFont="1" applyFill="1" applyBorder="1" applyAlignment="1" applyProtection="1">
      <alignment vertical="top"/>
    </xf>
    <xf numFmtId="49" fontId="9" fillId="2" borderId="18" xfId="3" applyNumberFormat="1" applyFont="1" applyFill="1" applyBorder="1" applyAlignment="1" applyProtection="1">
      <alignment vertical="top"/>
    </xf>
    <xf numFmtId="49" fontId="9" fillId="2" borderId="18" xfId="3" applyNumberFormat="1" applyFont="1" applyFill="1" applyBorder="1" applyAlignment="1" applyProtection="1">
      <alignment horizontal="left" vertical="top" wrapText="1"/>
    </xf>
    <xf numFmtId="0" fontId="9" fillId="2" borderId="18" xfId="3" applyFont="1" applyFill="1" applyBorder="1" applyAlignment="1" applyProtection="1">
      <alignment horizontal="center" vertical="top" shrinkToFit="1"/>
    </xf>
    <xf numFmtId="165" fontId="9" fillId="2" borderId="18" xfId="3" applyNumberFormat="1" applyFont="1" applyFill="1" applyBorder="1" applyAlignment="1" applyProtection="1">
      <alignment vertical="top" shrinkToFit="1"/>
    </xf>
    <xf numFmtId="4" fontId="9" fillId="2" borderId="18" xfId="3" applyNumberFormat="1" applyFont="1" applyFill="1" applyBorder="1" applyAlignment="1" applyProtection="1">
      <alignment vertical="top" shrinkToFit="1"/>
    </xf>
    <xf numFmtId="4" fontId="9" fillId="2" borderId="40" xfId="3" applyNumberFormat="1" applyFont="1" applyFill="1" applyBorder="1" applyAlignment="1" applyProtection="1">
      <alignment vertical="top" shrinkToFit="1"/>
    </xf>
    <xf numFmtId="0" fontId="1" fillId="0" borderId="0" xfId="3" applyProtection="1"/>
    <xf numFmtId="0" fontId="17" fillId="0" borderId="44" xfId="3" applyFont="1" applyBorder="1" applyAlignment="1" applyProtection="1">
      <alignment vertical="top"/>
    </xf>
    <xf numFmtId="49" fontId="17" fillId="0" borderId="45" xfId="3" applyNumberFormat="1" applyFont="1" applyBorder="1" applyAlignment="1" applyProtection="1">
      <alignment vertical="top"/>
    </xf>
    <xf numFmtId="49" fontId="17" fillId="0" borderId="45" xfId="3" applyNumberFormat="1" applyFont="1" applyBorder="1" applyAlignment="1" applyProtection="1">
      <alignment horizontal="left" vertical="top" wrapText="1"/>
    </xf>
    <xf numFmtId="0" fontId="17" fillId="0" borderId="45" xfId="3" applyFont="1" applyBorder="1" applyAlignment="1" applyProtection="1">
      <alignment horizontal="center" vertical="top" shrinkToFit="1"/>
    </xf>
    <xf numFmtId="165" fontId="17" fillId="0" borderId="45" xfId="3" applyNumberFormat="1" applyFont="1" applyBorder="1" applyAlignment="1" applyProtection="1">
      <alignment vertical="top" shrinkToFit="1"/>
    </xf>
    <xf numFmtId="4" fontId="17" fillId="0" borderId="46" xfId="3" applyNumberFormat="1" applyFont="1" applyBorder="1" applyAlignment="1" applyProtection="1">
      <alignment vertical="top" shrinkToFit="1"/>
    </xf>
    <xf numFmtId="0" fontId="17" fillId="0" borderId="41" xfId="3" applyFont="1" applyBorder="1" applyAlignment="1" applyProtection="1">
      <alignment vertical="top"/>
    </xf>
    <xf numFmtId="49" fontId="17" fillId="0" borderId="42" xfId="3" applyNumberFormat="1" applyFont="1" applyBorder="1" applyAlignment="1" applyProtection="1">
      <alignment vertical="top"/>
    </xf>
    <xf numFmtId="49" fontId="17" fillId="0" borderId="42" xfId="3" applyNumberFormat="1" applyFont="1" applyBorder="1" applyAlignment="1" applyProtection="1">
      <alignment horizontal="left" vertical="top" wrapText="1"/>
    </xf>
    <xf numFmtId="0" fontId="17" fillId="0" borderId="42" xfId="3" applyFont="1" applyBorder="1" applyAlignment="1" applyProtection="1">
      <alignment horizontal="center" vertical="top" shrinkToFit="1"/>
    </xf>
    <xf numFmtId="165" fontId="17" fillId="0" borderId="42" xfId="3" applyNumberFormat="1" applyFont="1" applyBorder="1" applyAlignment="1" applyProtection="1">
      <alignment vertical="top" shrinkToFit="1"/>
    </xf>
    <xf numFmtId="4" fontId="17" fillId="0" borderId="43" xfId="3" applyNumberFormat="1" applyFont="1" applyBorder="1" applyAlignment="1" applyProtection="1">
      <alignment vertical="top" shrinkToFit="1"/>
    </xf>
    <xf numFmtId="4" fontId="23" fillId="0" borderId="0" xfId="2" applyNumberFormat="1" applyFont="1" applyAlignment="1" applyProtection="1">
      <alignment horizontal="right" vertical="center"/>
      <protection locked="0"/>
    </xf>
    <xf numFmtId="0" fontId="22" fillId="0" borderId="0" xfId="2" applyFont="1" applyProtection="1">
      <protection locked="0"/>
    </xf>
    <xf numFmtId="49" fontId="23" fillId="5" borderId="0" xfId="2" applyNumberFormat="1" applyFont="1" applyFill="1" applyAlignment="1" applyProtection="1">
      <alignment horizontal="left" vertical="center"/>
      <protection locked="0"/>
    </xf>
    <xf numFmtId="0" fontId="25" fillId="0" borderId="0" xfId="2" applyFont="1" applyAlignment="1" applyProtection="1">
      <alignment horizontal="left" vertical="center" wrapText="1"/>
      <protection locked="0"/>
    </xf>
    <xf numFmtId="0" fontId="23" fillId="0" borderId="47" xfId="2" applyFont="1" applyBorder="1" applyAlignment="1" applyProtection="1">
      <alignment vertical="center"/>
      <protection locked="0"/>
    </xf>
  </cellXfs>
  <cellStyles count="5">
    <cellStyle name="Normální" xfId="0" builtinId="0"/>
    <cellStyle name="normální 2" xfId="1" xr:uid="{00000000-0005-0000-0000-000001000000}"/>
    <cellStyle name="Normální 3" xfId="2" xr:uid="{A8F54FCC-7136-4071-B213-9FE5A621D061}"/>
    <cellStyle name="Normální 4" xfId="3" xr:uid="{75086284-E4F2-4842-BEDE-7C537664107D}"/>
    <cellStyle name="Normální 5" xfId="4" xr:uid="{D5F26DA4-0671-4817-9B00-462C0230E2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G18" sqref="G18:H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33" t="s">
        <v>4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5" t="s">
        <v>24</v>
      </c>
      <c r="C2" s="76"/>
      <c r="D2" s="77" t="s">
        <v>45</v>
      </c>
      <c r="E2" s="239" t="s">
        <v>42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78" t="s">
        <v>43</v>
      </c>
      <c r="C3" s="76"/>
      <c r="D3" s="79" t="s">
        <v>41</v>
      </c>
      <c r="E3" s="242" t="s">
        <v>42</v>
      </c>
      <c r="F3" s="243"/>
      <c r="G3" s="243"/>
      <c r="H3" s="243"/>
      <c r="I3" s="243"/>
      <c r="J3" s="244"/>
    </row>
    <row r="4" spans="1:15" ht="23.25" customHeight="1" x14ac:dyDescent="0.2">
      <c r="A4" s="72">
        <v>2433</v>
      </c>
      <c r="B4" s="80" t="s">
        <v>44</v>
      </c>
      <c r="C4" s="81"/>
      <c r="D4" s="82" t="s">
        <v>41</v>
      </c>
      <c r="E4" s="222" t="s">
        <v>42</v>
      </c>
      <c r="F4" s="223"/>
      <c r="G4" s="223"/>
      <c r="H4" s="223"/>
      <c r="I4" s="223"/>
      <c r="J4" s="224"/>
    </row>
    <row r="5" spans="1:15" ht="24" customHeight="1" x14ac:dyDescent="0.2">
      <c r="A5" s="2"/>
      <c r="B5" s="30" t="s">
        <v>23</v>
      </c>
      <c r="D5" s="227" t="s">
        <v>46</v>
      </c>
      <c r="E5" s="228"/>
      <c r="F5" s="228"/>
      <c r="G5" s="228"/>
      <c r="H5" s="18" t="s">
        <v>40</v>
      </c>
      <c r="I5" s="83" t="s">
        <v>50</v>
      </c>
      <c r="J5" s="8"/>
    </row>
    <row r="6" spans="1:15" ht="15.75" customHeight="1" x14ac:dyDescent="0.2">
      <c r="A6" s="2"/>
      <c r="B6" s="27"/>
      <c r="C6" s="52"/>
      <c r="D6" s="229" t="s">
        <v>47</v>
      </c>
      <c r="E6" s="230"/>
      <c r="F6" s="230"/>
      <c r="G6" s="230"/>
      <c r="H6" s="18" t="s">
        <v>36</v>
      </c>
      <c r="I6" s="83" t="s">
        <v>51</v>
      </c>
      <c r="J6" s="8"/>
    </row>
    <row r="7" spans="1:15" ht="15.75" customHeight="1" x14ac:dyDescent="0.2">
      <c r="A7" s="2"/>
      <c r="B7" s="28"/>
      <c r="C7" s="53"/>
      <c r="D7" s="73" t="s">
        <v>49</v>
      </c>
      <c r="E7" s="231" t="s">
        <v>48</v>
      </c>
      <c r="F7" s="232"/>
      <c r="G7" s="232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52</v>
      </c>
      <c r="H8" s="18" t="s">
        <v>40</v>
      </c>
      <c r="I8" s="83" t="s">
        <v>56</v>
      </c>
      <c r="J8" s="8"/>
    </row>
    <row r="9" spans="1:15" ht="15.75" hidden="1" customHeight="1" x14ac:dyDescent="0.2">
      <c r="A9" s="2"/>
      <c r="B9" s="2"/>
      <c r="D9" s="74" t="s">
        <v>53</v>
      </c>
      <c r="H9" s="18" t="s">
        <v>36</v>
      </c>
      <c r="I9" s="83" t="s">
        <v>57</v>
      </c>
      <c r="J9" s="8"/>
    </row>
    <row r="10" spans="1:15" ht="15.75" hidden="1" customHeight="1" x14ac:dyDescent="0.2">
      <c r="A10" s="2"/>
      <c r="B10" s="34"/>
      <c r="C10" s="53"/>
      <c r="D10" s="73" t="s">
        <v>55</v>
      </c>
      <c r="E10" s="84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46"/>
      <c r="E11" s="246"/>
      <c r="F11" s="246"/>
      <c r="G11" s="246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1"/>
      <c r="E12" s="221"/>
      <c r="F12" s="221"/>
      <c r="G12" s="221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6"/>
      <c r="E13" s="225"/>
      <c r="F13" s="226"/>
      <c r="G13" s="226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5"/>
      <c r="F15" s="245"/>
      <c r="G15" s="247"/>
      <c r="H15" s="247"/>
      <c r="I15" s="247" t="s">
        <v>31</v>
      </c>
      <c r="J15" s="248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10"/>
      <c r="F16" s="211"/>
      <c r="G16" s="210"/>
      <c r="H16" s="211"/>
      <c r="I16" s="210">
        <f>SUMIF(F49:F72,A16,I49:I72)+SUMIF(F49:F72,"PSU",I49:I72)</f>
        <v>0</v>
      </c>
      <c r="J16" s="212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10"/>
      <c r="F17" s="211"/>
      <c r="G17" s="210"/>
      <c r="H17" s="211"/>
      <c r="I17" s="210">
        <f>SUMIF(F49:F72,A17,I49:I72)</f>
        <v>0</v>
      </c>
      <c r="J17" s="212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10"/>
      <c r="F18" s="211"/>
      <c r="G18" s="210"/>
      <c r="H18" s="211"/>
      <c r="I18" s="210">
        <f>SUMIF(F49:F72,A18,I49:I72)</f>
        <v>0</v>
      </c>
      <c r="J18" s="212"/>
    </row>
    <row r="19" spans="1:10" ht="23.25" customHeight="1" x14ac:dyDescent="0.2">
      <c r="A19" s="138" t="s">
        <v>110</v>
      </c>
      <c r="B19" s="37" t="s">
        <v>29</v>
      </c>
      <c r="C19" s="58"/>
      <c r="D19" s="59"/>
      <c r="E19" s="210"/>
      <c r="F19" s="211"/>
      <c r="G19" s="210"/>
      <c r="H19" s="211"/>
      <c r="I19" s="210">
        <f>SUMIF(F49:F72,A19,I49:I72)</f>
        <v>0</v>
      </c>
      <c r="J19" s="212"/>
    </row>
    <row r="20" spans="1:10" ht="23.25" customHeight="1" x14ac:dyDescent="0.2">
      <c r="A20" s="138" t="s">
        <v>111</v>
      </c>
      <c r="B20" s="37" t="s">
        <v>30</v>
      </c>
      <c r="C20" s="58"/>
      <c r="D20" s="59"/>
      <c r="E20" s="210"/>
      <c r="F20" s="211"/>
      <c r="G20" s="210"/>
      <c r="H20" s="211"/>
      <c r="I20" s="210">
        <f>SUMIF(F49:F72,A20,I49:I72)</f>
        <v>0</v>
      </c>
      <c r="J20" s="212"/>
    </row>
    <row r="21" spans="1:10" ht="23.25" customHeight="1" x14ac:dyDescent="0.2">
      <c r="A21" s="2"/>
      <c r="B21" s="47" t="s">
        <v>31</v>
      </c>
      <c r="C21" s="60"/>
      <c r="D21" s="61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08">
        <f>ZakladDPHSniVypocet</f>
        <v>0</v>
      </c>
      <c r="H23" s="209"/>
      <c r="I23" s="209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06">
        <f>A23</f>
        <v>0</v>
      </c>
      <c r="H24" s="207"/>
      <c r="I24" s="207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8">
        <f>ZakladDPHZaklVypocet</f>
        <v>0</v>
      </c>
      <c r="H25" s="209"/>
      <c r="I25" s="209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6">
        <f>A25</f>
        <v>0</v>
      </c>
      <c r="H26" s="237"/>
      <c r="I26" s="23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8">
        <f>CenaCelkem-(ZakladDPHSni+DPHSni+ZakladDPHZakl+DPHZakl)</f>
        <v>0</v>
      </c>
      <c r="H27" s="238"/>
      <c r="I27" s="238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6">
        <f>ZakladDPHSniVypocet+ZakladDPHZaklVypocet</f>
        <v>0</v>
      </c>
      <c r="H28" s="216"/>
      <c r="I28" s="21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5">
        <f>A27</f>
        <v>0</v>
      </c>
      <c r="H29" s="215"/>
      <c r="I29" s="215"/>
      <c r="J29" s="11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7"/>
      <c r="E34" s="218"/>
      <c r="G34" s="219"/>
      <c r="H34" s="220"/>
      <c r="I34" s="220"/>
      <c r="J34" s="24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58</v>
      </c>
      <c r="C39" s="200"/>
      <c r="D39" s="200"/>
      <c r="E39" s="200"/>
      <c r="F39" s="99">
        <f>'01 01 Pol'!AE760</f>
        <v>0</v>
      </c>
      <c r="G39" s="100">
        <f>'01 01 Pol'!AF760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41</v>
      </c>
      <c r="C40" s="201" t="s">
        <v>42</v>
      </c>
      <c r="D40" s="201"/>
      <c r="E40" s="201"/>
      <c r="F40" s="104">
        <f>'01 01 Pol'!AE760</f>
        <v>0</v>
      </c>
      <c r="G40" s="105">
        <f>'01 01 Pol'!AF760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41</v>
      </c>
      <c r="C41" s="200" t="s">
        <v>42</v>
      </c>
      <c r="D41" s="200"/>
      <c r="E41" s="200"/>
      <c r="F41" s="108">
        <f>'01 01 Pol'!AE760</f>
        <v>0</v>
      </c>
      <c r="G41" s="101">
        <f>'01 01 Pol'!AF760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2" t="s">
        <v>59</v>
      </c>
      <c r="C42" s="203"/>
      <c r="D42" s="203"/>
      <c r="E42" s="20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61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62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63</v>
      </c>
      <c r="C49" s="198" t="s">
        <v>64</v>
      </c>
      <c r="D49" s="199"/>
      <c r="E49" s="199"/>
      <c r="F49" s="134" t="s">
        <v>26</v>
      </c>
      <c r="G49" s="135"/>
      <c r="H49" s="135"/>
      <c r="I49" s="135">
        <f>'01 01 Pol'!G8</f>
        <v>0</v>
      </c>
      <c r="J49" s="131" t="str">
        <f>IF(I73=0,"",I49/I73*100)</f>
        <v/>
      </c>
    </row>
    <row r="50" spans="1:10" ht="36.75" customHeight="1" x14ac:dyDescent="0.2">
      <c r="A50" s="122"/>
      <c r="B50" s="127" t="s">
        <v>65</v>
      </c>
      <c r="C50" s="198" t="s">
        <v>66</v>
      </c>
      <c r="D50" s="199"/>
      <c r="E50" s="199"/>
      <c r="F50" s="134" t="s">
        <v>26</v>
      </c>
      <c r="G50" s="135"/>
      <c r="H50" s="135"/>
      <c r="I50" s="135">
        <f>'01 01 Pol'!G116</f>
        <v>0</v>
      </c>
      <c r="J50" s="131" t="str">
        <f>IF(I73=0,"",I50/I73*100)</f>
        <v/>
      </c>
    </row>
    <row r="51" spans="1:10" ht="36.75" customHeight="1" x14ac:dyDescent="0.2">
      <c r="A51" s="122"/>
      <c r="B51" s="127" t="s">
        <v>67</v>
      </c>
      <c r="C51" s="198" t="s">
        <v>68</v>
      </c>
      <c r="D51" s="199"/>
      <c r="E51" s="199"/>
      <c r="F51" s="134" t="s">
        <v>26</v>
      </c>
      <c r="G51" s="135"/>
      <c r="H51" s="135"/>
      <c r="I51" s="135">
        <f>'01 01 Pol'!G121</f>
        <v>0</v>
      </c>
      <c r="J51" s="131" t="str">
        <f>IF(I73=0,"",I51/I73*100)</f>
        <v/>
      </c>
    </row>
    <row r="52" spans="1:10" ht="36.75" customHeight="1" x14ac:dyDescent="0.2">
      <c r="A52" s="122"/>
      <c r="B52" s="127" t="s">
        <v>69</v>
      </c>
      <c r="C52" s="198" t="s">
        <v>70</v>
      </c>
      <c r="D52" s="199"/>
      <c r="E52" s="199"/>
      <c r="F52" s="134" t="s">
        <v>26</v>
      </c>
      <c r="G52" s="135"/>
      <c r="H52" s="135"/>
      <c r="I52" s="135">
        <f>'01 01 Pol'!G163</f>
        <v>0</v>
      </c>
      <c r="J52" s="131" t="str">
        <f>IF(I73=0,"",I52/I73*100)</f>
        <v/>
      </c>
    </row>
    <row r="53" spans="1:10" ht="36.75" customHeight="1" x14ac:dyDescent="0.2">
      <c r="A53" s="122"/>
      <c r="B53" s="127" t="s">
        <v>71</v>
      </c>
      <c r="C53" s="198" t="s">
        <v>72</v>
      </c>
      <c r="D53" s="199"/>
      <c r="E53" s="199"/>
      <c r="F53" s="134" t="s">
        <v>26</v>
      </c>
      <c r="G53" s="135"/>
      <c r="H53" s="135"/>
      <c r="I53" s="135">
        <f>'01 01 Pol'!G183</f>
        <v>0</v>
      </c>
      <c r="J53" s="131" t="str">
        <f>IF(I73=0,"",I53/I73*100)</f>
        <v/>
      </c>
    </row>
    <row r="54" spans="1:10" ht="36.75" customHeight="1" x14ac:dyDescent="0.2">
      <c r="A54" s="122"/>
      <c r="B54" s="127" t="s">
        <v>73</v>
      </c>
      <c r="C54" s="198" t="s">
        <v>74</v>
      </c>
      <c r="D54" s="199"/>
      <c r="E54" s="199"/>
      <c r="F54" s="134" t="s">
        <v>26</v>
      </c>
      <c r="G54" s="135"/>
      <c r="H54" s="135"/>
      <c r="I54" s="135">
        <f>'01 01 Pol'!G190</f>
        <v>0</v>
      </c>
      <c r="J54" s="131" t="str">
        <f>IF(I73=0,"",I54/I73*100)</f>
        <v/>
      </c>
    </row>
    <row r="55" spans="1:10" ht="36.75" customHeight="1" x14ac:dyDescent="0.2">
      <c r="A55" s="122"/>
      <c r="B55" s="127" t="s">
        <v>75</v>
      </c>
      <c r="C55" s="198" t="s">
        <v>76</v>
      </c>
      <c r="D55" s="199"/>
      <c r="E55" s="199"/>
      <c r="F55" s="134" t="s">
        <v>26</v>
      </c>
      <c r="G55" s="135"/>
      <c r="H55" s="135"/>
      <c r="I55" s="135">
        <f>'01 01 Pol'!G192</f>
        <v>0</v>
      </c>
      <c r="J55" s="131" t="str">
        <f>IF(I73=0,"",I55/I73*100)</f>
        <v/>
      </c>
    </row>
    <row r="56" spans="1:10" ht="36.75" customHeight="1" x14ac:dyDescent="0.2">
      <c r="A56" s="122"/>
      <c r="B56" s="127" t="s">
        <v>77</v>
      </c>
      <c r="C56" s="198" t="s">
        <v>78</v>
      </c>
      <c r="D56" s="199"/>
      <c r="E56" s="199"/>
      <c r="F56" s="134" t="s">
        <v>26</v>
      </c>
      <c r="G56" s="135"/>
      <c r="H56" s="135"/>
      <c r="I56" s="135">
        <f>'01 01 Pol'!G212</f>
        <v>0</v>
      </c>
      <c r="J56" s="131" t="str">
        <f>IF(I73=0,"",I56/I73*100)</f>
        <v/>
      </c>
    </row>
    <row r="57" spans="1:10" ht="36.75" customHeight="1" x14ac:dyDescent="0.2">
      <c r="A57" s="122"/>
      <c r="B57" s="127" t="s">
        <v>79</v>
      </c>
      <c r="C57" s="198" t="s">
        <v>80</v>
      </c>
      <c r="D57" s="199"/>
      <c r="E57" s="199"/>
      <c r="F57" s="134" t="s">
        <v>26</v>
      </c>
      <c r="G57" s="135"/>
      <c r="H57" s="135"/>
      <c r="I57" s="135">
        <f>'01 01 Pol'!G403</f>
        <v>0</v>
      </c>
      <c r="J57" s="131" t="str">
        <f>IF(I73=0,"",I57/I73*100)</f>
        <v/>
      </c>
    </row>
    <row r="58" spans="1:10" ht="36.75" customHeight="1" x14ac:dyDescent="0.2">
      <c r="A58" s="122"/>
      <c r="B58" s="127" t="s">
        <v>81</v>
      </c>
      <c r="C58" s="198" t="s">
        <v>82</v>
      </c>
      <c r="D58" s="199"/>
      <c r="E58" s="199"/>
      <c r="F58" s="134" t="s">
        <v>27</v>
      </c>
      <c r="G58" s="135"/>
      <c r="H58" s="135"/>
      <c r="I58" s="135">
        <f>'01 01 Pol'!G405</f>
        <v>0</v>
      </c>
      <c r="J58" s="131" t="str">
        <f>IF(I73=0,"",I58/I73*100)</f>
        <v/>
      </c>
    </row>
    <row r="59" spans="1:10" ht="36.75" customHeight="1" x14ac:dyDescent="0.2">
      <c r="A59" s="122"/>
      <c r="B59" s="127" t="s">
        <v>83</v>
      </c>
      <c r="C59" s="198" t="s">
        <v>84</v>
      </c>
      <c r="D59" s="199"/>
      <c r="E59" s="199"/>
      <c r="F59" s="134" t="s">
        <v>27</v>
      </c>
      <c r="G59" s="135"/>
      <c r="H59" s="135"/>
      <c r="I59" s="135">
        <f>'01 01 Pol'!G422</f>
        <v>0</v>
      </c>
      <c r="J59" s="131" t="str">
        <f>IF(I73=0,"",I59/I73*100)</f>
        <v/>
      </c>
    </row>
    <row r="60" spans="1:10" ht="36.75" customHeight="1" x14ac:dyDescent="0.2">
      <c r="A60" s="122"/>
      <c r="B60" s="127" t="s">
        <v>85</v>
      </c>
      <c r="C60" s="198" t="s">
        <v>86</v>
      </c>
      <c r="D60" s="199"/>
      <c r="E60" s="199"/>
      <c r="F60" s="134" t="s">
        <v>27</v>
      </c>
      <c r="G60" s="135"/>
      <c r="H60" s="135"/>
      <c r="I60" s="135">
        <f>'01 01 Pol'!G440</f>
        <v>0</v>
      </c>
      <c r="J60" s="131" t="str">
        <f>IF(I73=0,"",I60/I73*100)</f>
        <v/>
      </c>
    </row>
    <row r="61" spans="1:10" ht="36.75" customHeight="1" x14ac:dyDescent="0.2">
      <c r="A61" s="122"/>
      <c r="B61" s="127" t="s">
        <v>87</v>
      </c>
      <c r="C61" s="198" t="s">
        <v>88</v>
      </c>
      <c r="D61" s="199"/>
      <c r="E61" s="199"/>
      <c r="F61" s="134" t="s">
        <v>27</v>
      </c>
      <c r="G61" s="135"/>
      <c r="H61" s="135"/>
      <c r="I61" s="135">
        <f>'01 01 Pol'!G443</f>
        <v>0</v>
      </c>
      <c r="J61" s="131" t="str">
        <f>IF(I73=0,"",I61/I73*100)</f>
        <v/>
      </c>
    </row>
    <row r="62" spans="1:10" ht="36.75" customHeight="1" x14ac:dyDescent="0.2">
      <c r="A62" s="122"/>
      <c r="B62" s="127" t="s">
        <v>89</v>
      </c>
      <c r="C62" s="198" t="s">
        <v>90</v>
      </c>
      <c r="D62" s="199"/>
      <c r="E62" s="199"/>
      <c r="F62" s="134" t="s">
        <v>27</v>
      </c>
      <c r="G62" s="135"/>
      <c r="H62" s="135"/>
      <c r="I62" s="135">
        <f>'01 01 Pol'!G456</f>
        <v>0</v>
      </c>
      <c r="J62" s="131" t="str">
        <f>IF(I73=0,"",I62/I73*100)</f>
        <v/>
      </c>
    </row>
    <row r="63" spans="1:10" ht="36.75" customHeight="1" x14ac:dyDescent="0.2">
      <c r="A63" s="122"/>
      <c r="B63" s="127" t="s">
        <v>91</v>
      </c>
      <c r="C63" s="198" t="s">
        <v>92</v>
      </c>
      <c r="D63" s="199"/>
      <c r="E63" s="199"/>
      <c r="F63" s="134" t="s">
        <v>27</v>
      </c>
      <c r="G63" s="135"/>
      <c r="H63" s="135"/>
      <c r="I63" s="135">
        <f>'01 01 Pol'!G466</f>
        <v>0</v>
      </c>
      <c r="J63" s="131" t="str">
        <f>IF(I73=0,"",I63/I73*100)</f>
        <v/>
      </c>
    </row>
    <row r="64" spans="1:10" ht="36.75" customHeight="1" x14ac:dyDescent="0.2">
      <c r="A64" s="122"/>
      <c r="B64" s="127" t="s">
        <v>93</v>
      </c>
      <c r="C64" s="198" t="s">
        <v>94</v>
      </c>
      <c r="D64" s="199"/>
      <c r="E64" s="199"/>
      <c r="F64" s="134" t="s">
        <v>27</v>
      </c>
      <c r="G64" s="135"/>
      <c r="H64" s="135"/>
      <c r="I64" s="135">
        <f>'01 01 Pol'!G468</f>
        <v>0</v>
      </c>
      <c r="J64" s="131" t="str">
        <f>IF(I73=0,"",I64/I73*100)</f>
        <v/>
      </c>
    </row>
    <row r="65" spans="1:10" ht="36.75" customHeight="1" x14ac:dyDescent="0.2">
      <c r="A65" s="122"/>
      <c r="B65" s="127" t="s">
        <v>95</v>
      </c>
      <c r="C65" s="198" t="s">
        <v>96</v>
      </c>
      <c r="D65" s="199"/>
      <c r="E65" s="199"/>
      <c r="F65" s="134" t="s">
        <v>27</v>
      </c>
      <c r="G65" s="135"/>
      <c r="H65" s="135"/>
      <c r="I65" s="135">
        <f>'01 01 Pol'!G510</f>
        <v>0</v>
      </c>
      <c r="J65" s="131" t="str">
        <f>IF(I73=0,"",I65/I73*100)</f>
        <v/>
      </c>
    </row>
    <row r="66" spans="1:10" ht="36.75" customHeight="1" x14ac:dyDescent="0.2">
      <c r="A66" s="122"/>
      <c r="B66" s="127" t="s">
        <v>97</v>
      </c>
      <c r="C66" s="198" t="s">
        <v>98</v>
      </c>
      <c r="D66" s="199"/>
      <c r="E66" s="199"/>
      <c r="F66" s="134" t="s">
        <v>27</v>
      </c>
      <c r="G66" s="135"/>
      <c r="H66" s="135"/>
      <c r="I66" s="135">
        <f>'01 01 Pol'!G513</f>
        <v>0</v>
      </c>
      <c r="J66" s="131" t="str">
        <f>IF(I73=0,"",I66/I73*100)</f>
        <v/>
      </c>
    </row>
    <row r="67" spans="1:10" ht="36.75" customHeight="1" x14ac:dyDescent="0.2">
      <c r="A67" s="122"/>
      <c r="B67" s="127" t="s">
        <v>99</v>
      </c>
      <c r="C67" s="198" t="s">
        <v>100</v>
      </c>
      <c r="D67" s="199"/>
      <c r="E67" s="199"/>
      <c r="F67" s="134" t="s">
        <v>27</v>
      </c>
      <c r="G67" s="135"/>
      <c r="H67" s="135"/>
      <c r="I67" s="135">
        <f>'01 01 Pol'!G558</f>
        <v>0</v>
      </c>
      <c r="J67" s="131" t="str">
        <f>IF(I73=0,"",I67/I73*100)</f>
        <v/>
      </c>
    </row>
    <row r="68" spans="1:10" ht="36.75" customHeight="1" x14ac:dyDescent="0.2">
      <c r="A68" s="122"/>
      <c r="B68" s="127" t="s">
        <v>101</v>
      </c>
      <c r="C68" s="198" t="s">
        <v>102</v>
      </c>
      <c r="D68" s="199"/>
      <c r="E68" s="199"/>
      <c r="F68" s="134" t="s">
        <v>27</v>
      </c>
      <c r="G68" s="135"/>
      <c r="H68" s="135"/>
      <c r="I68" s="135">
        <f>'01 01 Pol'!G662</f>
        <v>0</v>
      </c>
      <c r="J68" s="131" t="str">
        <f>IF(I73=0,"",I68/I73*100)</f>
        <v/>
      </c>
    </row>
    <row r="69" spans="1:10" ht="36.75" customHeight="1" x14ac:dyDescent="0.2">
      <c r="A69" s="122"/>
      <c r="B69" s="127" t="s">
        <v>103</v>
      </c>
      <c r="C69" s="198" t="s">
        <v>104</v>
      </c>
      <c r="D69" s="199"/>
      <c r="E69" s="199"/>
      <c r="F69" s="134" t="s">
        <v>27</v>
      </c>
      <c r="G69" s="135"/>
      <c r="H69" s="135"/>
      <c r="I69" s="135">
        <f>'01 01 Pol'!G684</f>
        <v>0</v>
      </c>
      <c r="J69" s="131" t="str">
        <f>IF(I73=0,"",I69/I73*100)</f>
        <v/>
      </c>
    </row>
    <row r="70" spans="1:10" ht="36.75" customHeight="1" x14ac:dyDescent="0.2">
      <c r="A70" s="122"/>
      <c r="B70" s="127" t="s">
        <v>105</v>
      </c>
      <c r="C70" s="198" t="s">
        <v>106</v>
      </c>
      <c r="D70" s="199"/>
      <c r="E70" s="199"/>
      <c r="F70" s="134" t="s">
        <v>28</v>
      </c>
      <c r="G70" s="135"/>
      <c r="H70" s="135"/>
      <c r="I70" s="135">
        <f>'01 01 Pol'!G718</f>
        <v>0</v>
      </c>
      <c r="J70" s="131" t="str">
        <f>IF(I73=0,"",I70/I73*100)</f>
        <v/>
      </c>
    </row>
    <row r="71" spans="1:10" ht="36.75" customHeight="1" x14ac:dyDescent="0.2">
      <c r="A71" s="122"/>
      <c r="B71" s="127" t="s">
        <v>107</v>
      </c>
      <c r="C71" s="198" t="s">
        <v>108</v>
      </c>
      <c r="D71" s="199"/>
      <c r="E71" s="199"/>
      <c r="F71" s="134" t="s">
        <v>109</v>
      </c>
      <c r="G71" s="135"/>
      <c r="H71" s="135"/>
      <c r="I71" s="135">
        <f>'01 01 Pol'!G721</f>
        <v>0</v>
      </c>
      <c r="J71" s="131" t="str">
        <f>IF(I73=0,"",I71/I73*100)</f>
        <v/>
      </c>
    </row>
    <row r="72" spans="1:10" ht="36.75" customHeight="1" x14ac:dyDescent="0.2">
      <c r="A72" s="122"/>
      <c r="B72" s="127" t="s">
        <v>110</v>
      </c>
      <c r="C72" s="198" t="s">
        <v>29</v>
      </c>
      <c r="D72" s="199"/>
      <c r="E72" s="199"/>
      <c r="F72" s="134" t="s">
        <v>110</v>
      </c>
      <c r="G72" s="135"/>
      <c r="H72" s="135"/>
      <c r="I72" s="135">
        <f>'01 01 Pol'!G756</f>
        <v>0</v>
      </c>
      <c r="J72" s="131" t="str">
        <f>IF(I73=0,"",I72/I73*100)</f>
        <v/>
      </c>
    </row>
    <row r="73" spans="1:10" ht="25.5" customHeight="1" x14ac:dyDescent="0.2">
      <c r="A73" s="123"/>
      <c r="B73" s="128" t="s">
        <v>1</v>
      </c>
      <c r="C73" s="129"/>
      <c r="D73" s="130"/>
      <c r="E73" s="130"/>
      <c r="F73" s="136"/>
      <c r="G73" s="137"/>
      <c r="H73" s="137"/>
      <c r="I73" s="137">
        <f>SUM(I49:I72)</f>
        <v>0</v>
      </c>
      <c r="J73" s="132">
        <f>SUM(J49:J72)</f>
        <v>0</v>
      </c>
    </row>
    <row r="74" spans="1:10" x14ac:dyDescent="0.2">
      <c r="F74" s="87"/>
      <c r="G74" s="87"/>
      <c r="H74" s="87"/>
      <c r="I74" s="87"/>
      <c r="J74" s="133"/>
    </row>
    <row r="75" spans="1:10" x14ac:dyDescent="0.2">
      <c r="F75" s="87"/>
      <c r="G75" s="87"/>
      <c r="H75" s="87"/>
      <c r="I75" s="87"/>
      <c r="J75" s="133"/>
    </row>
    <row r="76" spans="1:10" x14ac:dyDescent="0.2">
      <c r="F76" s="87"/>
      <c r="G76" s="87"/>
      <c r="H76" s="87"/>
      <c r="I76" s="87"/>
      <c r="J76" s="133"/>
    </row>
  </sheetData>
  <sheetProtection algorithmName="SHA-512" hashValue="/hRFGbi5bhxekziuifsxlZ0SoPv1St7iE6xNmuJR4y8gPcjoC045aYFPgPl3lnC2JzxNSpga4/Z4vZdYnmgG3A==" saltValue="QofBZ8zwwJU7o4VOxTLA2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49" t="s">
        <v>8</v>
      </c>
      <c r="B2" s="48"/>
      <c r="C2" s="252"/>
      <c r="D2" s="252"/>
      <c r="E2" s="252"/>
      <c r="F2" s="252"/>
      <c r="G2" s="253"/>
    </row>
    <row r="3" spans="1:7" ht="24.95" customHeight="1" x14ac:dyDescent="0.2">
      <c r="A3" s="49" t="s">
        <v>9</v>
      </c>
      <c r="B3" s="48"/>
      <c r="C3" s="252"/>
      <c r="D3" s="252"/>
      <c r="E3" s="252"/>
      <c r="F3" s="252"/>
      <c r="G3" s="253"/>
    </row>
    <row r="4" spans="1:7" ht="24.95" customHeight="1" x14ac:dyDescent="0.2">
      <c r="A4" s="49" t="s">
        <v>10</v>
      </c>
      <c r="B4" s="48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BIoErxFct5wWOKAB9Ei5i8rV9AZ/ZABDuWHrVq5OYIW1Pk3nSH7aa8THKcti/lLldDr3g8FjiZLTON/MK1QUHw==" saltValue="64OEUj6Sx9XTrCrtxkwId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04FB-216D-4982-AFC5-59FE3A449D59}">
  <sheetPr>
    <outlinePr summaryBelow="0"/>
  </sheetPr>
  <dimension ref="A1:BH5000"/>
  <sheetViews>
    <sheetView workbookViewId="0">
      <pane ySplit="7" topLeftCell="A444" activePane="bottomLeft" state="frozen"/>
      <selection pane="bottomLeft" activeCell="F467" sqref="F467"/>
    </sheetView>
  </sheetViews>
  <sheetFormatPr defaultRowHeight="12.75" outlineLevelRow="3" x14ac:dyDescent="0.2"/>
  <cols>
    <col min="1" max="1" width="3.42578125" customWidth="1"/>
    <col min="2" max="2" width="12.5703125" style="143" customWidth="1"/>
    <col min="3" max="3" width="38.28515625" style="14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112</v>
      </c>
    </row>
    <row r="2" spans="1:60" ht="24.95" customHeight="1" x14ac:dyDescent="0.2">
      <c r="A2" s="49" t="s">
        <v>8</v>
      </c>
      <c r="B2" s="48" t="s">
        <v>45</v>
      </c>
      <c r="C2" s="255" t="s">
        <v>42</v>
      </c>
      <c r="D2" s="256"/>
      <c r="E2" s="256"/>
      <c r="F2" s="256"/>
      <c r="G2" s="257"/>
      <c r="AG2" t="s">
        <v>113</v>
      </c>
    </row>
    <row r="3" spans="1:60" ht="24.95" customHeight="1" x14ac:dyDescent="0.2">
      <c r="A3" s="49" t="s">
        <v>9</v>
      </c>
      <c r="B3" s="48" t="s">
        <v>41</v>
      </c>
      <c r="C3" s="255" t="s">
        <v>42</v>
      </c>
      <c r="D3" s="256"/>
      <c r="E3" s="256"/>
      <c r="F3" s="256"/>
      <c r="G3" s="257"/>
      <c r="AC3" s="143" t="s">
        <v>113</v>
      </c>
      <c r="AG3" t="s">
        <v>114</v>
      </c>
    </row>
    <row r="4" spans="1:60" ht="24.95" customHeight="1" x14ac:dyDescent="0.2">
      <c r="A4" s="144" t="s">
        <v>10</v>
      </c>
      <c r="B4" s="145" t="s">
        <v>41</v>
      </c>
      <c r="C4" s="258" t="s">
        <v>42</v>
      </c>
      <c r="D4" s="259"/>
      <c r="E4" s="259"/>
      <c r="F4" s="259"/>
      <c r="G4" s="260"/>
      <c r="AG4" t="s">
        <v>115</v>
      </c>
    </row>
    <row r="5" spans="1:60" x14ac:dyDescent="0.2">
      <c r="D5" s="10"/>
    </row>
    <row r="6" spans="1:60" ht="38.25" x14ac:dyDescent="0.2">
      <c r="A6" s="146" t="s">
        <v>116</v>
      </c>
      <c r="B6" s="147" t="s">
        <v>117</v>
      </c>
      <c r="C6" s="147" t="s">
        <v>118</v>
      </c>
      <c r="D6" s="148" t="s">
        <v>119</v>
      </c>
      <c r="E6" s="146" t="s">
        <v>120</v>
      </c>
      <c r="F6" s="149" t="s">
        <v>121</v>
      </c>
      <c r="G6" s="146" t="s">
        <v>31</v>
      </c>
      <c r="H6" s="150" t="s">
        <v>32</v>
      </c>
      <c r="I6" s="150" t="s">
        <v>122</v>
      </c>
      <c r="J6" s="150" t="s">
        <v>33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  <c r="Y6" s="150" t="s">
        <v>137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53" t="s">
        <v>138</v>
      </c>
      <c r="B8" s="154" t="s">
        <v>63</v>
      </c>
      <c r="C8" s="155" t="s">
        <v>64</v>
      </c>
      <c r="D8" s="156"/>
      <c r="E8" s="157"/>
      <c r="F8" s="158"/>
      <c r="G8" s="159">
        <f>SUMIF(AG9:AG115,"&lt;&gt;NOR",G9:G115)</f>
        <v>0</v>
      </c>
      <c r="H8" s="160"/>
      <c r="I8" s="160">
        <f>SUM(I9:I115)</f>
        <v>0</v>
      </c>
      <c r="J8" s="160"/>
      <c r="K8" s="160">
        <f>SUM(K9:K115)</f>
        <v>0</v>
      </c>
      <c r="L8" s="160"/>
      <c r="M8" s="160">
        <f>SUM(M9:M115)</f>
        <v>0</v>
      </c>
      <c r="N8" s="161"/>
      <c r="O8" s="161">
        <f>SUM(O9:O115)</f>
        <v>7.5500000000000007</v>
      </c>
      <c r="P8" s="161"/>
      <c r="Q8" s="161">
        <f>SUM(Q9:Q115)</f>
        <v>0</v>
      </c>
      <c r="R8" s="160"/>
      <c r="S8" s="160"/>
      <c r="T8" s="160"/>
      <c r="U8" s="160"/>
      <c r="V8" s="160">
        <f>SUM(V9:V115)</f>
        <v>189.25999999999996</v>
      </c>
      <c r="W8" s="160"/>
      <c r="X8" s="160"/>
      <c r="Y8" s="160"/>
      <c r="AG8" t="s">
        <v>139</v>
      </c>
    </row>
    <row r="9" spans="1:60" outlineLevel="1" x14ac:dyDescent="0.2">
      <c r="A9" s="162">
        <v>1</v>
      </c>
      <c r="B9" s="163" t="s">
        <v>140</v>
      </c>
      <c r="C9" s="164" t="s">
        <v>141</v>
      </c>
      <c r="D9" s="165" t="s">
        <v>142</v>
      </c>
      <c r="E9" s="166">
        <v>4.9500000000000002E-2</v>
      </c>
      <c r="F9" s="140"/>
      <c r="G9" s="167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70">
        <v>1.8196000000000001</v>
      </c>
      <c r="O9" s="170">
        <f>ROUND(E9*N9,2)</f>
        <v>0.09</v>
      </c>
      <c r="P9" s="170">
        <v>0</v>
      </c>
      <c r="Q9" s="170">
        <f>ROUND(E9*P9,2)</f>
        <v>0</v>
      </c>
      <c r="R9" s="169"/>
      <c r="S9" s="169" t="s">
        <v>143</v>
      </c>
      <c r="T9" s="169" t="s">
        <v>143</v>
      </c>
      <c r="U9" s="169">
        <v>6.77</v>
      </c>
      <c r="V9" s="169">
        <f>ROUND(E9*U9,2)</f>
        <v>0.34</v>
      </c>
      <c r="W9" s="169"/>
      <c r="X9" s="169" t="s">
        <v>144</v>
      </c>
      <c r="Y9" s="169" t="s">
        <v>145</v>
      </c>
      <c r="Z9" s="171"/>
      <c r="AA9" s="171"/>
      <c r="AB9" s="171"/>
      <c r="AC9" s="171"/>
      <c r="AD9" s="171"/>
      <c r="AE9" s="171"/>
      <c r="AF9" s="171"/>
      <c r="AG9" s="171" t="s">
        <v>146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</row>
    <row r="10" spans="1:60" outlineLevel="2" x14ac:dyDescent="0.2">
      <c r="A10" s="172"/>
      <c r="B10" s="173"/>
      <c r="C10" s="174" t="s">
        <v>147</v>
      </c>
      <c r="D10" s="175"/>
      <c r="E10" s="176"/>
      <c r="F10" s="196"/>
      <c r="G10" s="169"/>
      <c r="H10" s="169"/>
      <c r="I10" s="169"/>
      <c r="J10" s="169"/>
      <c r="K10" s="169"/>
      <c r="L10" s="169"/>
      <c r="M10" s="169"/>
      <c r="N10" s="170"/>
      <c r="O10" s="170"/>
      <c r="P10" s="170"/>
      <c r="Q10" s="170"/>
      <c r="R10" s="169"/>
      <c r="S10" s="169"/>
      <c r="T10" s="169"/>
      <c r="U10" s="169"/>
      <c r="V10" s="169"/>
      <c r="W10" s="169"/>
      <c r="X10" s="169"/>
      <c r="Y10" s="169"/>
      <c r="Z10" s="171"/>
      <c r="AA10" s="171"/>
      <c r="AB10" s="171"/>
      <c r="AC10" s="171"/>
      <c r="AD10" s="171"/>
      <c r="AE10" s="171"/>
      <c r="AF10" s="171"/>
      <c r="AG10" s="171" t="s">
        <v>148</v>
      </c>
      <c r="AH10" s="171">
        <v>0</v>
      </c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</row>
    <row r="11" spans="1:60" outlineLevel="3" x14ac:dyDescent="0.2">
      <c r="A11" s="172"/>
      <c r="B11" s="173"/>
      <c r="C11" s="174" t="s">
        <v>149</v>
      </c>
      <c r="D11" s="175"/>
      <c r="E11" s="176"/>
      <c r="F11" s="196"/>
      <c r="G11" s="169"/>
      <c r="H11" s="169"/>
      <c r="I11" s="169"/>
      <c r="J11" s="169"/>
      <c r="K11" s="169"/>
      <c r="L11" s="169"/>
      <c r="M11" s="169"/>
      <c r="N11" s="170"/>
      <c r="O11" s="170"/>
      <c r="P11" s="170"/>
      <c r="Q11" s="170"/>
      <c r="R11" s="169"/>
      <c r="S11" s="169"/>
      <c r="T11" s="169"/>
      <c r="U11" s="169"/>
      <c r="V11" s="169"/>
      <c r="W11" s="169"/>
      <c r="X11" s="169"/>
      <c r="Y11" s="169"/>
      <c r="Z11" s="171"/>
      <c r="AA11" s="171"/>
      <c r="AB11" s="171"/>
      <c r="AC11" s="171"/>
      <c r="AD11" s="171"/>
      <c r="AE11" s="171"/>
      <c r="AF11" s="171"/>
      <c r="AG11" s="171" t="s">
        <v>148</v>
      </c>
      <c r="AH11" s="171">
        <v>0</v>
      </c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</row>
    <row r="12" spans="1:60" outlineLevel="3" x14ac:dyDescent="0.2">
      <c r="A12" s="172"/>
      <c r="B12" s="173"/>
      <c r="C12" s="174" t="s">
        <v>150</v>
      </c>
      <c r="D12" s="175"/>
      <c r="E12" s="176">
        <v>1.6500000000000001E-2</v>
      </c>
      <c r="F12" s="196"/>
      <c r="G12" s="169"/>
      <c r="H12" s="169"/>
      <c r="I12" s="169"/>
      <c r="J12" s="169"/>
      <c r="K12" s="169"/>
      <c r="L12" s="169"/>
      <c r="M12" s="169"/>
      <c r="N12" s="170"/>
      <c r="O12" s="170"/>
      <c r="P12" s="170"/>
      <c r="Q12" s="170"/>
      <c r="R12" s="169"/>
      <c r="S12" s="169"/>
      <c r="T12" s="169"/>
      <c r="U12" s="169"/>
      <c r="V12" s="169"/>
      <c r="W12" s="169"/>
      <c r="X12" s="169"/>
      <c r="Y12" s="169"/>
      <c r="Z12" s="171"/>
      <c r="AA12" s="171"/>
      <c r="AB12" s="171"/>
      <c r="AC12" s="171"/>
      <c r="AD12" s="171"/>
      <c r="AE12" s="171"/>
      <c r="AF12" s="171"/>
      <c r="AG12" s="171" t="s">
        <v>148</v>
      </c>
      <c r="AH12" s="171">
        <v>0</v>
      </c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</row>
    <row r="13" spans="1:60" outlineLevel="3" x14ac:dyDescent="0.2">
      <c r="A13" s="172"/>
      <c r="B13" s="173"/>
      <c r="C13" s="174" t="s">
        <v>151</v>
      </c>
      <c r="D13" s="175"/>
      <c r="E13" s="176"/>
      <c r="F13" s="196"/>
      <c r="G13" s="169"/>
      <c r="H13" s="169"/>
      <c r="I13" s="169"/>
      <c r="J13" s="169"/>
      <c r="K13" s="169"/>
      <c r="L13" s="169"/>
      <c r="M13" s="169"/>
      <c r="N13" s="170"/>
      <c r="O13" s="170"/>
      <c r="P13" s="170"/>
      <c r="Q13" s="170"/>
      <c r="R13" s="169"/>
      <c r="S13" s="169"/>
      <c r="T13" s="169"/>
      <c r="U13" s="169"/>
      <c r="V13" s="169"/>
      <c r="W13" s="169"/>
      <c r="X13" s="169"/>
      <c r="Y13" s="169"/>
      <c r="Z13" s="171"/>
      <c r="AA13" s="171"/>
      <c r="AB13" s="171"/>
      <c r="AC13" s="171"/>
      <c r="AD13" s="171"/>
      <c r="AE13" s="171"/>
      <c r="AF13" s="171"/>
      <c r="AG13" s="171" t="s">
        <v>148</v>
      </c>
      <c r="AH13" s="171">
        <v>0</v>
      </c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</row>
    <row r="14" spans="1:60" outlineLevel="3" x14ac:dyDescent="0.2">
      <c r="A14" s="172"/>
      <c r="B14" s="173"/>
      <c r="C14" s="174" t="s">
        <v>150</v>
      </c>
      <c r="D14" s="175"/>
      <c r="E14" s="176">
        <v>1.6500000000000001E-2</v>
      </c>
      <c r="F14" s="196"/>
      <c r="G14" s="169"/>
      <c r="H14" s="169"/>
      <c r="I14" s="169"/>
      <c r="J14" s="169"/>
      <c r="K14" s="169"/>
      <c r="L14" s="169"/>
      <c r="M14" s="169"/>
      <c r="N14" s="170"/>
      <c r="O14" s="170"/>
      <c r="P14" s="170"/>
      <c r="Q14" s="170"/>
      <c r="R14" s="169"/>
      <c r="S14" s="169"/>
      <c r="T14" s="169"/>
      <c r="U14" s="169"/>
      <c r="V14" s="169"/>
      <c r="W14" s="169"/>
      <c r="X14" s="169"/>
      <c r="Y14" s="169"/>
      <c r="Z14" s="171"/>
      <c r="AA14" s="171"/>
      <c r="AB14" s="171"/>
      <c r="AC14" s="171"/>
      <c r="AD14" s="171"/>
      <c r="AE14" s="171"/>
      <c r="AF14" s="171"/>
      <c r="AG14" s="171" t="s">
        <v>148</v>
      </c>
      <c r="AH14" s="171">
        <v>0</v>
      </c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</row>
    <row r="15" spans="1:60" outlineLevel="3" x14ac:dyDescent="0.2">
      <c r="A15" s="172"/>
      <c r="B15" s="173"/>
      <c r="C15" s="174" t="s">
        <v>152</v>
      </c>
      <c r="D15" s="175"/>
      <c r="E15" s="176"/>
      <c r="F15" s="196"/>
      <c r="G15" s="169"/>
      <c r="H15" s="169"/>
      <c r="I15" s="169"/>
      <c r="J15" s="169"/>
      <c r="K15" s="169"/>
      <c r="L15" s="169"/>
      <c r="M15" s="169"/>
      <c r="N15" s="170"/>
      <c r="O15" s="170"/>
      <c r="P15" s="170"/>
      <c r="Q15" s="170"/>
      <c r="R15" s="169"/>
      <c r="S15" s="169"/>
      <c r="T15" s="169"/>
      <c r="U15" s="169"/>
      <c r="V15" s="169"/>
      <c r="W15" s="169"/>
      <c r="X15" s="169"/>
      <c r="Y15" s="169"/>
      <c r="Z15" s="171"/>
      <c r="AA15" s="171"/>
      <c r="AB15" s="171"/>
      <c r="AC15" s="171"/>
      <c r="AD15" s="171"/>
      <c r="AE15" s="171"/>
      <c r="AF15" s="171"/>
      <c r="AG15" s="171" t="s">
        <v>148</v>
      </c>
      <c r="AH15" s="171">
        <v>0</v>
      </c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</row>
    <row r="16" spans="1:60" outlineLevel="3" x14ac:dyDescent="0.2">
      <c r="A16" s="172"/>
      <c r="B16" s="173"/>
      <c r="C16" s="174" t="s">
        <v>150</v>
      </c>
      <c r="D16" s="175"/>
      <c r="E16" s="176">
        <v>1.6500000000000001E-2</v>
      </c>
      <c r="F16" s="196"/>
      <c r="G16" s="169"/>
      <c r="H16" s="169"/>
      <c r="I16" s="169"/>
      <c r="J16" s="169"/>
      <c r="K16" s="169"/>
      <c r="L16" s="169"/>
      <c r="M16" s="169"/>
      <c r="N16" s="170"/>
      <c r="O16" s="170"/>
      <c r="P16" s="170"/>
      <c r="Q16" s="170"/>
      <c r="R16" s="169"/>
      <c r="S16" s="169"/>
      <c r="T16" s="169"/>
      <c r="U16" s="169"/>
      <c r="V16" s="169"/>
      <c r="W16" s="169"/>
      <c r="X16" s="169"/>
      <c r="Y16" s="169"/>
      <c r="Z16" s="171"/>
      <c r="AA16" s="171"/>
      <c r="AB16" s="171"/>
      <c r="AC16" s="171"/>
      <c r="AD16" s="171"/>
      <c r="AE16" s="171"/>
      <c r="AF16" s="171"/>
      <c r="AG16" s="171" t="s">
        <v>148</v>
      </c>
      <c r="AH16" s="171">
        <v>0</v>
      </c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</row>
    <row r="17" spans="1:60" outlineLevel="1" x14ac:dyDescent="0.2">
      <c r="A17" s="162">
        <v>2</v>
      </c>
      <c r="B17" s="163" t="s">
        <v>153</v>
      </c>
      <c r="C17" s="164" t="s">
        <v>154</v>
      </c>
      <c r="D17" s="165" t="s">
        <v>155</v>
      </c>
      <c r="E17" s="166">
        <v>2.5409999999999999E-2</v>
      </c>
      <c r="F17" s="140"/>
      <c r="G17" s="167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70">
        <v>1.9539999999999998E-2</v>
      </c>
      <c r="O17" s="170">
        <f>ROUND(E17*N17,2)</f>
        <v>0</v>
      </c>
      <c r="P17" s="170">
        <v>0</v>
      </c>
      <c r="Q17" s="170">
        <f>ROUND(E17*P17,2)</f>
        <v>0</v>
      </c>
      <c r="R17" s="169"/>
      <c r="S17" s="169" t="s">
        <v>143</v>
      </c>
      <c r="T17" s="169" t="s">
        <v>143</v>
      </c>
      <c r="U17" s="169">
        <v>18.175000000000001</v>
      </c>
      <c r="V17" s="169">
        <f>ROUND(E17*U17,2)</f>
        <v>0.46</v>
      </c>
      <c r="W17" s="169"/>
      <c r="X17" s="169" t="s">
        <v>144</v>
      </c>
      <c r="Y17" s="169" t="s">
        <v>145</v>
      </c>
      <c r="Z17" s="171"/>
      <c r="AA17" s="171"/>
      <c r="AB17" s="171"/>
      <c r="AC17" s="171"/>
      <c r="AD17" s="171"/>
      <c r="AE17" s="171"/>
      <c r="AF17" s="171"/>
      <c r="AG17" s="171" t="s">
        <v>146</v>
      </c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</row>
    <row r="18" spans="1:60" outlineLevel="2" x14ac:dyDescent="0.2">
      <c r="A18" s="172"/>
      <c r="B18" s="173"/>
      <c r="C18" s="174" t="s">
        <v>147</v>
      </c>
      <c r="D18" s="175"/>
      <c r="E18" s="176"/>
      <c r="F18" s="196"/>
      <c r="G18" s="169"/>
      <c r="H18" s="169"/>
      <c r="I18" s="169"/>
      <c r="J18" s="169"/>
      <c r="K18" s="169"/>
      <c r="L18" s="169"/>
      <c r="M18" s="169"/>
      <c r="N18" s="170"/>
      <c r="O18" s="170"/>
      <c r="P18" s="170"/>
      <c r="Q18" s="170"/>
      <c r="R18" s="169"/>
      <c r="S18" s="169"/>
      <c r="T18" s="169"/>
      <c r="U18" s="169"/>
      <c r="V18" s="169"/>
      <c r="W18" s="169"/>
      <c r="X18" s="169"/>
      <c r="Y18" s="169"/>
      <c r="Z18" s="171"/>
      <c r="AA18" s="171"/>
      <c r="AB18" s="171"/>
      <c r="AC18" s="171"/>
      <c r="AD18" s="171"/>
      <c r="AE18" s="171"/>
      <c r="AF18" s="171"/>
      <c r="AG18" s="171" t="s">
        <v>148</v>
      </c>
      <c r="AH18" s="171">
        <v>0</v>
      </c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</row>
    <row r="19" spans="1:60" outlineLevel="3" x14ac:dyDescent="0.2">
      <c r="A19" s="172"/>
      <c r="B19" s="173"/>
      <c r="C19" s="174" t="s">
        <v>149</v>
      </c>
      <c r="D19" s="175"/>
      <c r="E19" s="176"/>
      <c r="F19" s="196"/>
      <c r="G19" s="169"/>
      <c r="H19" s="169"/>
      <c r="I19" s="169"/>
      <c r="J19" s="169"/>
      <c r="K19" s="169"/>
      <c r="L19" s="169"/>
      <c r="M19" s="169"/>
      <c r="N19" s="170"/>
      <c r="O19" s="170"/>
      <c r="P19" s="170"/>
      <c r="Q19" s="170"/>
      <c r="R19" s="169"/>
      <c r="S19" s="169"/>
      <c r="T19" s="169"/>
      <c r="U19" s="169"/>
      <c r="V19" s="169"/>
      <c r="W19" s="169"/>
      <c r="X19" s="169"/>
      <c r="Y19" s="169"/>
      <c r="Z19" s="171"/>
      <c r="AA19" s="171"/>
      <c r="AB19" s="171"/>
      <c r="AC19" s="171"/>
      <c r="AD19" s="171"/>
      <c r="AE19" s="171"/>
      <c r="AF19" s="171"/>
      <c r="AG19" s="171" t="s">
        <v>148</v>
      </c>
      <c r="AH19" s="171">
        <v>0</v>
      </c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</row>
    <row r="20" spans="1:60" outlineLevel="3" x14ac:dyDescent="0.2">
      <c r="A20" s="172"/>
      <c r="B20" s="173"/>
      <c r="C20" s="174" t="s">
        <v>156</v>
      </c>
      <c r="D20" s="175"/>
      <c r="E20" s="176">
        <v>8.4700000000000001E-3</v>
      </c>
      <c r="F20" s="196"/>
      <c r="G20" s="169"/>
      <c r="H20" s="169"/>
      <c r="I20" s="169"/>
      <c r="J20" s="169"/>
      <c r="K20" s="169"/>
      <c r="L20" s="169"/>
      <c r="M20" s="169"/>
      <c r="N20" s="170"/>
      <c r="O20" s="170"/>
      <c r="P20" s="170"/>
      <c r="Q20" s="170"/>
      <c r="R20" s="169"/>
      <c r="S20" s="169"/>
      <c r="T20" s="169"/>
      <c r="U20" s="169"/>
      <c r="V20" s="169"/>
      <c r="W20" s="169"/>
      <c r="X20" s="169"/>
      <c r="Y20" s="169"/>
      <c r="Z20" s="171"/>
      <c r="AA20" s="171"/>
      <c r="AB20" s="171"/>
      <c r="AC20" s="171"/>
      <c r="AD20" s="171"/>
      <c r="AE20" s="171"/>
      <c r="AF20" s="171"/>
      <c r="AG20" s="171" t="s">
        <v>148</v>
      </c>
      <c r="AH20" s="171">
        <v>0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</row>
    <row r="21" spans="1:60" outlineLevel="3" x14ac:dyDescent="0.2">
      <c r="A21" s="172"/>
      <c r="B21" s="173"/>
      <c r="C21" s="174" t="s">
        <v>151</v>
      </c>
      <c r="D21" s="175"/>
      <c r="E21" s="176"/>
      <c r="F21" s="196"/>
      <c r="G21" s="169"/>
      <c r="H21" s="169"/>
      <c r="I21" s="169"/>
      <c r="J21" s="169"/>
      <c r="K21" s="169"/>
      <c r="L21" s="169"/>
      <c r="M21" s="169"/>
      <c r="N21" s="170"/>
      <c r="O21" s="170"/>
      <c r="P21" s="170"/>
      <c r="Q21" s="170"/>
      <c r="R21" s="169"/>
      <c r="S21" s="169"/>
      <c r="T21" s="169"/>
      <c r="U21" s="169"/>
      <c r="V21" s="169"/>
      <c r="W21" s="169"/>
      <c r="X21" s="169"/>
      <c r="Y21" s="169"/>
      <c r="Z21" s="171"/>
      <c r="AA21" s="171"/>
      <c r="AB21" s="171"/>
      <c r="AC21" s="171"/>
      <c r="AD21" s="171"/>
      <c r="AE21" s="171"/>
      <c r="AF21" s="171"/>
      <c r="AG21" s="171" t="s">
        <v>148</v>
      </c>
      <c r="AH21" s="171">
        <v>0</v>
      </c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</row>
    <row r="22" spans="1:60" outlineLevel="3" x14ac:dyDescent="0.2">
      <c r="A22" s="172"/>
      <c r="B22" s="173"/>
      <c r="C22" s="174" t="s">
        <v>156</v>
      </c>
      <c r="D22" s="175"/>
      <c r="E22" s="176">
        <v>8.4700000000000001E-3</v>
      </c>
      <c r="F22" s="196"/>
      <c r="G22" s="169"/>
      <c r="H22" s="169"/>
      <c r="I22" s="169"/>
      <c r="J22" s="169"/>
      <c r="K22" s="169"/>
      <c r="L22" s="169"/>
      <c r="M22" s="169"/>
      <c r="N22" s="170"/>
      <c r="O22" s="170"/>
      <c r="P22" s="170"/>
      <c r="Q22" s="170"/>
      <c r="R22" s="169"/>
      <c r="S22" s="169"/>
      <c r="T22" s="169"/>
      <c r="U22" s="169"/>
      <c r="V22" s="169"/>
      <c r="W22" s="169"/>
      <c r="X22" s="169"/>
      <c r="Y22" s="169"/>
      <c r="Z22" s="171"/>
      <c r="AA22" s="171"/>
      <c r="AB22" s="171"/>
      <c r="AC22" s="171"/>
      <c r="AD22" s="171"/>
      <c r="AE22" s="171"/>
      <c r="AF22" s="171"/>
      <c r="AG22" s="171" t="s">
        <v>148</v>
      </c>
      <c r="AH22" s="171">
        <v>0</v>
      </c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</row>
    <row r="23" spans="1:60" outlineLevel="3" x14ac:dyDescent="0.2">
      <c r="A23" s="172"/>
      <c r="B23" s="173"/>
      <c r="C23" s="174" t="s">
        <v>152</v>
      </c>
      <c r="D23" s="175"/>
      <c r="E23" s="176"/>
      <c r="F23" s="196"/>
      <c r="G23" s="169"/>
      <c r="H23" s="169"/>
      <c r="I23" s="169"/>
      <c r="J23" s="169"/>
      <c r="K23" s="169"/>
      <c r="L23" s="169"/>
      <c r="M23" s="169"/>
      <c r="N23" s="170"/>
      <c r="O23" s="170"/>
      <c r="P23" s="170"/>
      <c r="Q23" s="170"/>
      <c r="R23" s="169"/>
      <c r="S23" s="169"/>
      <c r="T23" s="169"/>
      <c r="U23" s="169"/>
      <c r="V23" s="169"/>
      <c r="W23" s="169"/>
      <c r="X23" s="169"/>
      <c r="Y23" s="169"/>
      <c r="Z23" s="171"/>
      <c r="AA23" s="171"/>
      <c r="AB23" s="171"/>
      <c r="AC23" s="171"/>
      <c r="AD23" s="171"/>
      <c r="AE23" s="171"/>
      <c r="AF23" s="171"/>
      <c r="AG23" s="171" t="s">
        <v>148</v>
      </c>
      <c r="AH23" s="171">
        <v>0</v>
      </c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</row>
    <row r="24" spans="1:60" outlineLevel="3" x14ac:dyDescent="0.2">
      <c r="A24" s="172"/>
      <c r="B24" s="173"/>
      <c r="C24" s="174" t="s">
        <v>156</v>
      </c>
      <c r="D24" s="175"/>
      <c r="E24" s="176">
        <v>8.4700000000000001E-3</v>
      </c>
      <c r="F24" s="196"/>
      <c r="G24" s="169"/>
      <c r="H24" s="169"/>
      <c r="I24" s="169"/>
      <c r="J24" s="169"/>
      <c r="K24" s="169"/>
      <c r="L24" s="169"/>
      <c r="M24" s="169"/>
      <c r="N24" s="170"/>
      <c r="O24" s="170"/>
      <c r="P24" s="170"/>
      <c r="Q24" s="170"/>
      <c r="R24" s="169"/>
      <c r="S24" s="169"/>
      <c r="T24" s="169"/>
      <c r="U24" s="169"/>
      <c r="V24" s="169"/>
      <c r="W24" s="169"/>
      <c r="X24" s="169"/>
      <c r="Y24" s="169"/>
      <c r="Z24" s="171"/>
      <c r="AA24" s="171"/>
      <c r="AB24" s="171"/>
      <c r="AC24" s="171"/>
      <c r="AD24" s="171"/>
      <c r="AE24" s="171"/>
      <c r="AF24" s="171"/>
      <c r="AG24" s="171" t="s">
        <v>148</v>
      </c>
      <c r="AH24" s="171">
        <v>0</v>
      </c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</row>
    <row r="25" spans="1:60" outlineLevel="1" x14ac:dyDescent="0.2">
      <c r="A25" s="162">
        <v>3</v>
      </c>
      <c r="B25" s="163" t="s">
        <v>157</v>
      </c>
      <c r="C25" s="164" t="s">
        <v>158</v>
      </c>
      <c r="D25" s="165" t="s">
        <v>159</v>
      </c>
      <c r="E25" s="166">
        <v>5.3250000000000002</v>
      </c>
      <c r="F25" s="140"/>
      <c r="G25" s="167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70">
        <v>0.12906000000000001</v>
      </c>
      <c r="O25" s="170">
        <f>ROUND(E25*N25,2)</f>
        <v>0.69</v>
      </c>
      <c r="P25" s="170">
        <v>0</v>
      </c>
      <c r="Q25" s="170">
        <f>ROUND(E25*P25,2)</f>
        <v>0</v>
      </c>
      <c r="R25" s="169"/>
      <c r="S25" s="169" t="s">
        <v>143</v>
      </c>
      <c r="T25" s="169" t="s">
        <v>143</v>
      </c>
      <c r="U25" s="169">
        <v>0.90100000000000002</v>
      </c>
      <c r="V25" s="169">
        <f>ROUND(E25*U25,2)</f>
        <v>4.8</v>
      </c>
      <c r="W25" s="169"/>
      <c r="X25" s="169" t="s">
        <v>144</v>
      </c>
      <c r="Y25" s="169" t="s">
        <v>145</v>
      </c>
      <c r="Z25" s="171"/>
      <c r="AA25" s="171"/>
      <c r="AB25" s="171"/>
      <c r="AC25" s="171"/>
      <c r="AD25" s="171"/>
      <c r="AE25" s="171"/>
      <c r="AF25" s="171"/>
      <c r="AG25" s="171" t="s">
        <v>146</v>
      </c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</row>
    <row r="26" spans="1:60" outlineLevel="2" x14ac:dyDescent="0.2">
      <c r="A26" s="172"/>
      <c r="B26" s="173"/>
      <c r="C26" s="174" t="s">
        <v>160</v>
      </c>
      <c r="D26" s="175"/>
      <c r="E26" s="176"/>
      <c r="F26" s="196"/>
      <c r="G26" s="169"/>
      <c r="H26" s="169"/>
      <c r="I26" s="169"/>
      <c r="J26" s="169"/>
      <c r="K26" s="169"/>
      <c r="L26" s="169"/>
      <c r="M26" s="169"/>
      <c r="N26" s="170"/>
      <c r="O26" s="170"/>
      <c r="P26" s="170"/>
      <c r="Q26" s="170"/>
      <c r="R26" s="169"/>
      <c r="S26" s="169"/>
      <c r="T26" s="169"/>
      <c r="U26" s="169"/>
      <c r="V26" s="169"/>
      <c r="W26" s="169"/>
      <c r="X26" s="169"/>
      <c r="Y26" s="169"/>
      <c r="Z26" s="171"/>
      <c r="AA26" s="171"/>
      <c r="AB26" s="171"/>
      <c r="AC26" s="171"/>
      <c r="AD26" s="171"/>
      <c r="AE26" s="171"/>
      <c r="AF26" s="171"/>
      <c r="AG26" s="171" t="s">
        <v>148</v>
      </c>
      <c r="AH26" s="171">
        <v>0</v>
      </c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</row>
    <row r="27" spans="1:60" outlineLevel="3" x14ac:dyDescent="0.2">
      <c r="A27" s="172"/>
      <c r="B27" s="173"/>
      <c r="C27" s="174" t="s">
        <v>149</v>
      </c>
      <c r="D27" s="175"/>
      <c r="E27" s="176"/>
      <c r="F27" s="196"/>
      <c r="G27" s="169"/>
      <c r="H27" s="169"/>
      <c r="I27" s="169"/>
      <c r="J27" s="169"/>
      <c r="K27" s="169"/>
      <c r="L27" s="169"/>
      <c r="M27" s="169"/>
      <c r="N27" s="170"/>
      <c r="O27" s="170"/>
      <c r="P27" s="170"/>
      <c r="Q27" s="170"/>
      <c r="R27" s="169"/>
      <c r="S27" s="169"/>
      <c r="T27" s="169"/>
      <c r="U27" s="169"/>
      <c r="V27" s="169"/>
      <c r="W27" s="169"/>
      <c r="X27" s="169"/>
      <c r="Y27" s="169"/>
      <c r="Z27" s="171"/>
      <c r="AA27" s="171"/>
      <c r="AB27" s="171"/>
      <c r="AC27" s="171"/>
      <c r="AD27" s="171"/>
      <c r="AE27" s="171"/>
      <c r="AF27" s="171"/>
      <c r="AG27" s="171" t="s">
        <v>148</v>
      </c>
      <c r="AH27" s="171">
        <v>0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</row>
    <row r="28" spans="1:60" outlineLevel="3" x14ac:dyDescent="0.2">
      <c r="A28" s="172"/>
      <c r="B28" s="173"/>
      <c r="C28" s="174" t="s">
        <v>161</v>
      </c>
      <c r="D28" s="175"/>
      <c r="E28" s="176">
        <v>1.125</v>
      </c>
      <c r="F28" s="196"/>
      <c r="G28" s="169"/>
      <c r="H28" s="169"/>
      <c r="I28" s="169"/>
      <c r="J28" s="169"/>
      <c r="K28" s="169"/>
      <c r="L28" s="169"/>
      <c r="M28" s="169"/>
      <c r="N28" s="170"/>
      <c r="O28" s="170"/>
      <c r="P28" s="170"/>
      <c r="Q28" s="170"/>
      <c r="R28" s="169"/>
      <c r="S28" s="169"/>
      <c r="T28" s="169"/>
      <c r="U28" s="169"/>
      <c r="V28" s="169"/>
      <c r="W28" s="169"/>
      <c r="X28" s="169"/>
      <c r="Y28" s="169"/>
      <c r="Z28" s="171"/>
      <c r="AA28" s="171"/>
      <c r="AB28" s="171"/>
      <c r="AC28" s="171"/>
      <c r="AD28" s="171"/>
      <c r="AE28" s="171"/>
      <c r="AF28" s="171"/>
      <c r="AG28" s="171" t="s">
        <v>148</v>
      </c>
      <c r="AH28" s="171">
        <v>0</v>
      </c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</row>
    <row r="29" spans="1:60" outlineLevel="3" x14ac:dyDescent="0.2">
      <c r="A29" s="172"/>
      <c r="B29" s="173"/>
      <c r="C29" s="174" t="s">
        <v>162</v>
      </c>
      <c r="D29" s="175"/>
      <c r="E29" s="176">
        <v>0.65</v>
      </c>
      <c r="F29" s="196"/>
      <c r="G29" s="169"/>
      <c r="H29" s="169"/>
      <c r="I29" s="169"/>
      <c r="J29" s="169"/>
      <c r="K29" s="169"/>
      <c r="L29" s="169"/>
      <c r="M29" s="169"/>
      <c r="N29" s="170"/>
      <c r="O29" s="170"/>
      <c r="P29" s="170"/>
      <c r="Q29" s="170"/>
      <c r="R29" s="169"/>
      <c r="S29" s="169"/>
      <c r="T29" s="169"/>
      <c r="U29" s="169"/>
      <c r="V29" s="169"/>
      <c r="W29" s="169"/>
      <c r="X29" s="169"/>
      <c r="Y29" s="169"/>
      <c r="Z29" s="171"/>
      <c r="AA29" s="171"/>
      <c r="AB29" s="171"/>
      <c r="AC29" s="171"/>
      <c r="AD29" s="171"/>
      <c r="AE29" s="171"/>
      <c r="AF29" s="171"/>
      <c r="AG29" s="171" t="s">
        <v>148</v>
      </c>
      <c r="AH29" s="171">
        <v>0</v>
      </c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</row>
    <row r="30" spans="1:60" outlineLevel="3" x14ac:dyDescent="0.2">
      <c r="A30" s="172"/>
      <c r="B30" s="173"/>
      <c r="C30" s="174" t="s">
        <v>151</v>
      </c>
      <c r="D30" s="175"/>
      <c r="E30" s="176"/>
      <c r="F30" s="196"/>
      <c r="G30" s="169"/>
      <c r="H30" s="169"/>
      <c r="I30" s="169"/>
      <c r="J30" s="169"/>
      <c r="K30" s="169"/>
      <c r="L30" s="169"/>
      <c r="M30" s="169"/>
      <c r="N30" s="170"/>
      <c r="O30" s="170"/>
      <c r="P30" s="170"/>
      <c r="Q30" s="170"/>
      <c r="R30" s="169"/>
      <c r="S30" s="169"/>
      <c r="T30" s="169"/>
      <c r="U30" s="169"/>
      <c r="V30" s="169"/>
      <c r="W30" s="169"/>
      <c r="X30" s="169"/>
      <c r="Y30" s="169"/>
      <c r="Z30" s="171"/>
      <c r="AA30" s="171"/>
      <c r="AB30" s="171"/>
      <c r="AC30" s="171"/>
      <c r="AD30" s="171"/>
      <c r="AE30" s="171"/>
      <c r="AF30" s="171"/>
      <c r="AG30" s="171" t="s">
        <v>148</v>
      </c>
      <c r="AH30" s="171">
        <v>0</v>
      </c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</row>
    <row r="31" spans="1:60" outlineLevel="3" x14ac:dyDescent="0.2">
      <c r="A31" s="172"/>
      <c r="B31" s="173"/>
      <c r="C31" s="174" t="s">
        <v>161</v>
      </c>
      <c r="D31" s="175"/>
      <c r="E31" s="176">
        <v>1.125</v>
      </c>
      <c r="F31" s="196"/>
      <c r="G31" s="169"/>
      <c r="H31" s="169"/>
      <c r="I31" s="169"/>
      <c r="J31" s="169"/>
      <c r="K31" s="169"/>
      <c r="L31" s="169"/>
      <c r="M31" s="169"/>
      <c r="N31" s="170"/>
      <c r="O31" s="170"/>
      <c r="P31" s="170"/>
      <c r="Q31" s="170"/>
      <c r="R31" s="169"/>
      <c r="S31" s="169"/>
      <c r="T31" s="169"/>
      <c r="U31" s="169"/>
      <c r="V31" s="169"/>
      <c r="W31" s="169"/>
      <c r="X31" s="169"/>
      <c r="Y31" s="169"/>
      <c r="Z31" s="171"/>
      <c r="AA31" s="171"/>
      <c r="AB31" s="171"/>
      <c r="AC31" s="171"/>
      <c r="AD31" s="171"/>
      <c r="AE31" s="171"/>
      <c r="AF31" s="171"/>
      <c r="AG31" s="171" t="s">
        <v>148</v>
      </c>
      <c r="AH31" s="171">
        <v>0</v>
      </c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</row>
    <row r="32" spans="1:60" outlineLevel="3" x14ac:dyDescent="0.2">
      <c r="A32" s="172"/>
      <c r="B32" s="173"/>
      <c r="C32" s="174" t="s">
        <v>162</v>
      </c>
      <c r="D32" s="175"/>
      <c r="E32" s="176">
        <v>0.65</v>
      </c>
      <c r="F32" s="196"/>
      <c r="G32" s="169"/>
      <c r="H32" s="169"/>
      <c r="I32" s="169"/>
      <c r="J32" s="169"/>
      <c r="K32" s="169"/>
      <c r="L32" s="169"/>
      <c r="M32" s="169"/>
      <c r="N32" s="170"/>
      <c r="O32" s="170"/>
      <c r="P32" s="170"/>
      <c r="Q32" s="170"/>
      <c r="R32" s="169"/>
      <c r="S32" s="169"/>
      <c r="T32" s="169"/>
      <c r="U32" s="169"/>
      <c r="V32" s="169"/>
      <c r="W32" s="169"/>
      <c r="X32" s="169"/>
      <c r="Y32" s="169"/>
      <c r="Z32" s="171"/>
      <c r="AA32" s="171"/>
      <c r="AB32" s="171"/>
      <c r="AC32" s="171"/>
      <c r="AD32" s="171"/>
      <c r="AE32" s="171"/>
      <c r="AF32" s="171"/>
      <c r="AG32" s="171" t="s">
        <v>148</v>
      </c>
      <c r="AH32" s="171">
        <v>0</v>
      </c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</row>
    <row r="33" spans="1:60" outlineLevel="3" x14ac:dyDescent="0.2">
      <c r="A33" s="172"/>
      <c r="B33" s="173"/>
      <c r="C33" s="174" t="s">
        <v>152</v>
      </c>
      <c r="D33" s="175"/>
      <c r="E33" s="176"/>
      <c r="F33" s="196"/>
      <c r="G33" s="169"/>
      <c r="H33" s="169"/>
      <c r="I33" s="169"/>
      <c r="J33" s="169"/>
      <c r="K33" s="169"/>
      <c r="L33" s="169"/>
      <c r="M33" s="169"/>
      <c r="N33" s="170"/>
      <c r="O33" s="170"/>
      <c r="P33" s="170"/>
      <c r="Q33" s="170"/>
      <c r="R33" s="169"/>
      <c r="S33" s="169"/>
      <c r="T33" s="169"/>
      <c r="U33" s="169"/>
      <c r="V33" s="169"/>
      <c r="W33" s="169"/>
      <c r="X33" s="169"/>
      <c r="Y33" s="169"/>
      <c r="Z33" s="171"/>
      <c r="AA33" s="171"/>
      <c r="AB33" s="171"/>
      <c r="AC33" s="171"/>
      <c r="AD33" s="171"/>
      <c r="AE33" s="171"/>
      <c r="AF33" s="171"/>
      <c r="AG33" s="171" t="s">
        <v>148</v>
      </c>
      <c r="AH33" s="171">
        <v>0</v>
      </c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</row>
    <row r="34" spans="1:60" outlineLevel="3" x14ac:dyDescent="0.2">
      <c r="A34" s="172"/>
      <c r="B34" s="173"/>
      <c r="C34" s="174" t="s">
        <v>161</v>
      </c>
      <c r="D34" s="175"/>
      <c r="E34" s="176">
        <v>1.125</v>
      </c>
      <c r="F34" s="196"/>
      <c r="G34" s="169"/>
      <c r="H34" s="169"/>
      <c r="I34" s="169"/>
      <c r="J34" s="169"/>
      <c r="K34" s="169"/>
      <c r="L34" s="169"/>
      <c r="M34" s="169"/>
      <c r="N34" s="170"/>
      <c r="O34" s="170"/>
      <c r="P34" s="170"/>
      <c r="Q34" s="170"/>
      <c r="R34" s="169"/>
      <c r="S34" s="169"/>
      <c r="T34" s="169"/>
      <c r="U34" s="169"/>
      <c r="V34" s="169"/>
      <c r="W34" s="169"/>
      <c r="X34" s="169"/>
      <c r="Y34" s="169"/>
      <c r="Z34" s="171"/>
      <c r="AA34" s="171"/>
      <c r="AB34" s="171"/>
      <c r="AC34" s="171"/>
      <c r="AD34" s="171"/>
      <c r="AE34" s="171"/>
      <c r="AF34" s="171"/>
      <c r="AG34" s="171" t="s">
        <v>148</v>
      </c>
      <c r="AH34" s="171">
        <v>0</v>
      </c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</row>
    <row r="35" spans="1:60" outlineLevel="3" x14ac:dyDescent="0.2">
      <c r="A35" s="172"/>
      <c r="B35" s="173"/>
      <c r="C35" s="174" t="s">
        <v>162</v>
      </c>
      <c r="D35" s="175"/>
      <c r="E35" s="176">
        <v>0.65</v>
      </c>
      <c r="F35" s="196"/>
      <c r="G35" s="169"/>
      <c r="H35" s="169"/>
      <c r="I35" s="169"/>
      <c r="J35" s="169"/>
      <c r="K35" s="169"/>
      <c r="L35" s="169"/>
      <c r="M35" s="169"/>
      <c r="N35" s="170"/>
      <c r="O35" s="170"/>
      <c r="P35" s="170"/>
      <c r="Q35" s="170"/>
      <c r="R35" s="169"/>
      <c r="S35" s="169"/>
      <c r="T35" s="169"/>
      <c r="U35" s="169"/>
      <c r="V35" s="169"/>
      <c r="W35" s="169"/>
      <c r="X35" s="169"/>
      <c r="Y35" s="169"/>
      <c r="Z35" s="171"/>
      <c r="AA35" s="171"/>
      <c r="AB35" s="171"/>
      <c r="AC35" s="171"/>
      <c r="AD35" s="171"/>
      <c r="AE35" s="171"/>
      <c r="AF35" s="171"/>
      <c r="AG35" s="171" t="s">
        <v>148</v>
      </c>
      <c r="AH35" s="171">
        <v>0</v>
      </c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</row>
    <row r="36" spans="1:60" outlineLevel="1" x14ac:dyDescent="0.2">
      <c r="A36" s="162">
        <v>4</v>
      </c>
      <c r="B36" s="163" t="s">
        <v>163</v>
      </c>
      <c r="C36" s="164" t="s">
        <v>164</v>
      </c>
      <c r="D36" s="165" t="s">
        <v>159</v>
      </c>
      <c r="E36" s="166">
        <v>27.12</v>
      </c>
      <c r="F36" s="140"/>
      <c r="G36" s="167">
        <f>ROUND(E36*F36,2)</f>
        <v>0</v>
      </c>
      <c r="H36" s="168"/>
      <c r="I36" s="169">
        <f>ROUND(E36*H36,2)</f>
        <v>0</v>
      </c>
      <c r="J36" s="168"/>
      <c r="K36" s="169">
        <f>ROUND(E36*J36,2)</f>
        <v>0</v>
      </c>
      <c r="L36" s="169">
        <v>21</v>
      </c>
      <c r="M36" s="169">
        <f>G36*(1+L36/100)</f>
        <v>0</v>
      </c>
      <c r="N36" s="170">
        <v>0.12906000000000001</v>
      </c>
      <c r="O36" s="170">
        <f>ROUND(E36*N36,2)</f>
        <v>3.5</v>
      </c>
      <c r="P36" s="170">
        <v>0</v>
      </c>
      <c r="Q36" s="170">
        <f>ROUND(E36*P36,2)</f>
        <v>0</v>
      </c>
      <c r="R36" s="169"/>
      <c r="S36" s="169" t="s">
        <v>143</v>
      </c>
      <c r="T36" s="169" t="s">
        <v>143</v>
      </c>
      <c r="U36" s="169">
        <v>0.68899999999999995</v>
      </c>
      <c r="V36" s="169">
        <f>ROUND(E36*U36,2)</f>
        <v>18.690000000000001</v>
      </c>
      <c r="W36" s="169"/>
      <c r="X36" s="169" t="s">
        <v>144</v>
      </c>
      <c r="Y36" s="169" t="s">
        <v>145</v>
      </c>
      <c r="Z36" s="171"/>
      <c r="AA36" s="171"/>
      <c r="AB36" s="171"/>
      <c r="AC36" s="171"/>
      <c r="AD36" s="171"/>
      <c r="AE36" s="171"/>
      <c r="AF36" s="171"/>
      <c r="AG36" s="171" t="s">
        <v>146</v>
      </c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</row>
    <row r="37" spans="1:60" outlineLevel="2" x14ac:dyDescent="0.2">
      <c r="A37" s="172"/>
      <c r="B37" s="173"/>
      <c r="C37" s="174" t="s">
        <v>165</v>
      </c>
      <c r="D37" s="175"/>
      <c r="E37" s="176"/>
      <c r="F37" s="196"/>
      <c r="G37" s="169"/>
      <c r="H37" s="169"/>
      <c r="I37" s="169"/>
      <c r="J37" s="169"/>
      <c r="K37" s="169"/>
      <c r="L37" s="169"/>
      <c r="M37" s="169"/>
      <c r="N37" s="170"/>
      <c r="O37" s="170"/>
      <c r="P37" s="170"/>
      <c r="Q37" s="170"/>
      <c r="R37" s="169"/>
      <c r="S37" s="169"/>
      <c r="T37" s="169"/>
      <c r="U37" s="169"/>
      <c r="V37" s="169"/>
      <c r="W37" s="169"/>
      <c r="X37" s="169"/>
      <c r="Y37" s="169"/>
      <c r="Z37" s="171"/>
      <c r="AA37" s="171"/>
      <c r="AB37" s="171"/>
      <c r="AC37" s="171"/>
      <c r="AD37" s="171"/>
      <c r="AE37" s="171"/>
      <c r="AF37" s="171"/>
      <c r="AG37" s="171" t="s">
        <v>148</v>
      </c>
      <c r="AH37" s="171">
        <v>0</v>
      </c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</row>
    <row r="38" spans="1:60" outlineLevel="3" x14ac:dyDescent="0.2">
      <c r="A38" s="172"/>
      <c r="B38" s="173"/>
      <c r="C38" s="174" t="s">
        <v>149</v>
      </c>
      <c r="D38" s="175"/>
      <c r="E38" s="176"/>
      <c r="F38" s="196"/>
      <c r="G38" s="169"/>
      <c r="H38" s="169"/>
      <c r="I38" s="169"/>
      <c r="J38" s="169"/>
      <c r="K38" s="169"/>
      <c r="L38" s="169"/>
      <c r="M38" s="169"/>
      <c r="N38" s="170"/>
      <c r="O38" s="170"/>
      <c r="P38" s="170"/>
      <c r="Q38" s="170"/>
      <c r="R38" s="169"/>
      <c r="S38" s="169"/>
      <c r="T38" s="169"/>
      <c r="U38" s="169"/>
      <c r="V38" s="169"/>
      <c r="W38" s="169"/>
      <c r="X38" s="169"/>
      <c r="Y38" s="169"/>
      <c r="Z38" s="171"/>
      <c r="AA38" s="171"/>
      <c r="AB38" s="171"/>
      <c r="AC38" s="171"/>
      <c r="AD38" s="171"/>
      <c r="AE38" s="171"/>
      <c r="AF38" s="171"/>
      <c r="AG38" s="171" t="s">
        <v>148</v>
      </c>
      <c r="AH38" s="171">
        <v>0</v>
      </c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</row>
    <row r="39" spans="1:60" outlineLevel="3" x14ac:dyDescent="0.2">
      <c r="A39" s="172"/>
      <c r="B39" s="173"/>
      <c r="C39" s="174" t="s">
        <v>166</v>
      </c>
      <c r="D39" s="175"/>
      <c r="E39" s="176">
        <v>2.8</v>
      </c>
      <c r="F39" s="196"/>
      <c r="G39" s="169"/>
      <c r="H39" s="169"/>
      <c r="I39" s="169"/>
      <c r="J39" s="169"/>
      <c r="K39" s="169"/>
      <c r="L39" s="169"/>
      <c r="M39" s="169"/>
      <c r="N39" s="170"/>
      <c r="O39" s="170"/>
      <c r="P39" s="170"/>
      <c r="Q39" s="170"/>
      <c r="R39" s="169"/>
      <c r="S39" s="169"/>
      <c r="T39" s="169"/>
      <c r="U39" s="169"/>
      <c r="V39" s="169"/>
      <c r="W39" s="169"/>
      <c r="X39" s="169"/>
      <c r="Y39" s="169"/>
      <c r="Z39" s="171"/>
      <c r="AA39" s="171"/>
      <c r="AB39" s="171"/>
      <c r="AC39" s="171"/>
      <c r="AD39" s="171"/>
      <c r="AE39" s="171"/>
      <c r="AF39" s="171"/>
      <c r="AG39" s="171" t="s">
        <v>148</v>
      </c>
      <c r="AH39" s="171">
        <v>0</v>
      </c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</row>
    <row r="40" spans="1:60" outlineLevel="3" x14ac:dyDescent="0.2">
      <c r="A40" s="172"/>
      <c r="B40" s="173"/>
      <c r="C40" s="174" t="s">
        <v>167</v>
      </c>
      <c r="D40" s="175"/>
      <c r="E40" s="176">
        <v>6.4349999999999996</v>
      </c>
      <c r="F40" s="196"/>
      <c r="G40" s="169"/>
      <c r="H40" s="169"/>
      <c r="I40" s="169"/>
      <c r="J40" s="169"/>
      <c r="K40" s="169"/>
      <c r="L40" s="169"/>
      <c r="M40" s="169"/>
      <c r="N40" s="170"/>
      <c r="O40" s="170"/>
      <c r="P40" s="170"/>
      <c r="Q40" s="170"/>
      <c r="R40" s="169"/>
      <c r="S40" s="169"/>
      <c r="T40" s="169"/>
      <c r="U40" s="169"/>
      <c r="V40" s="169"/>
      <c r="W40" s="169"/>
      <c r="X40" s="169"/>
      <c r="Y40" s="169"/>
      <c r="Z40" s="171"/>
      <c r="AA40" s="171"/>
      <c r="AB40" s="171"/>
      <c r="AC40" s="171"/>
      <c r="AD40" s="171"/>
      <c r="AE40" s="171"/>
      <c r="AF40" s="171"/>
      <c r="AG40" s="171" t="s">
        <v>148</v>
      </c>
      <c r="AH40" s="171">
        <v>0</v>
      </c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</row>
    <row r="41" spans="1:60" outlineLevel="3" x14ac:dyDescent="0.2">
      <c r="A41" s="172"/>
      <c r="B41" s="173"/>
      <c r="C41" s="174" t="s">
        <v>151</v>
      </c>
      <c r="D41" s="175"/>
      <c r="E41" s="176"/>
      <c r="F41" s="196"/>
      <c r="G41" s="169"/>
      <c r="H41" s="169"/>
      <c r="I41" s="169"/>
      <c r="J41" s="169"/>
      <c r="K41" s="169"/>
      <c r="L41" s="169"/>
      <c r="M41" s="169"/>
      <c r="N41" s="170"/>
      <c r="O41" s="170"/>
      <c r="P41" s="170"/>
      <c r="Q41" s="170"/>
      <c r="R41" s="169"/>
      <c r="S41" s="169"/>
      <c r="T41" s="169"/>
      <c r="U41" s="169"/>
      <c r="V41" s="169"/>
      <c r="W41" s="169"/>
      <c r="X41" s="169"/>
      <c r="Y41" s="169"/>
      <c r="Z41" s="171"/>
      <c r="AA41" s="171"/>
      <c r="AB41" s="171"/>
      <c r="AC41" s="171"/>
      <c r="AD41" s="171"/>
      <c r="AE41" s="171"/>
      <c r="AF41" s="171"/>
      <c r="AG41" s="171" t="s">
        <v>148</v>
      </c>
      <c r="AH41" s="171">
        <v>0</v>
      </c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</row>
    <row r="42" spans="1:60" outlineLevel="3" x14ac:dyDescent="0.2">
      <c r="A42" s="172"/>
      <c r="B42" s="173"/>
      <c r="C42" s="174" t="s">
        <v>166</v>
      </c>
      <c r="D42" s="175"/>
      <c r="E42" s="176">
        <v>2.8</v>
      </c>
      <c r="F42" s="196"/>
      <c r="G42" s="169"/>
      <c r="H42" s="169"/>
      <c r="I42" s="169"/>
      <c r="J42" s="169"/>
      <c r="K42" s="169"/>
      <c r="L42" s="169"/>
      <c r="M42" s="169"/>
      <c r="N42" s="170"/>
      <c r="O42" s="170"/>
      <c r="P42" s="170"/>
      <c r="Q42" s="170"/>
      <c r="R42" s="169"/>
      <c r="S42" s="169"/>
      <c r="T42" s="169"/>
      <c r="U42" s="169"/>
      <c r="V42" s="169"/>
      <c r="W42" s="169"/>
      <c r="X42" s="169"/>
      <c r="Y42" s="169"/>
      <c r="Z42" s="171"/>
      <c r="AA42" s="171"/>
      <c r="AB42" s="171"/>
      <c r="AC42" s="171"/>
      <c r="AD42" s="171"/>
      <c r="AE42" s="171"/>
      <c r="AF42" s="171"/>
      <c r="AG42" s="171" t="s">
        <v>148</v>
      </c>
      <c r="AH42" s="171">
        <v>0</v>
      </c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</row>
    <row r="43" spans="1:60" outlineLevel="3" x14ac:dyDescent="0.2">
      <c r="A43" s="172"/>
      <c r="B43" s="173"/>
      <c r="C43" s="174" t="s">
        <v>168</v>
      </c>
      <c r="D43" s="175"/>
      <c r="E43" s="176">
        <v>6.11</v>
      </c>
      <c r="F43" s="196"/>
      <c r="G43" s="169"/>
      <c r="H43" s="169"/>
      <c r="I43" s="169"/>
      <c r="J43" s="169"/>
      <c r="K43" s="169"/>
      <c r="L43" s="169"/>
      <c r="M43" s="169"/>
      <c r="N43" s="170"/>
      <c r="O43" s="170"/>
      <c r="P43" s="170"/>
      <c r="Q43" s="170"/>
      <c r="R43" s="169"/>
      <c r="S43" s="169"/>
      <c r="T43" s="169"/>
      <c r="U43" s="169"/>
      <c r="V43" s="169"/>
      <c r="W43" s="169"/>
      <c r="X43" s="169"/>
      <c r="Y43" s="169"/>
      <c r="Z43" s="171"/>
      <c r="AA43" s="171"/>
      <c r="AB43" s="171"/>
      <c r="AC43" s="171"/>
      <c r="AD43" s="171"/>
      <c r="AE43" s="171"/>
      <c r="AF43" s="171"/>
      <c r="AG43" s="171" t="s">
        <v>148</v>
      </c>
      <c r="AH43" s="171">
        <v>0</v>
      </c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</row>
    <row r="44" spans="1:60" outlineLevel="3" x14ac:dyDescent="0.2">
      <c r="A44" s="172"/>
      <c r="B44" s="173"/>
      <c r="C44" s="174" t="s">
        <v>151</v>
      </c>
      <c r="D44" s="175"/>
      <c r="E44" s="176"/>
      <c r="F44" s="196"/>
      <c r="G44" s="169"/>
      <c r="H44" s="169"/>
      <c r="I44" s="169"/>
      <c r="J44" s="169"/>
      <c r="K44" s="169"/>
      <c r="L44" s="169"/>
      <c r="M44" s="169"/>
      <c r="N44" s="170"/>
      <c r="O44" s="170"/>
      <c r="P44" s="170"/>
      <c r="Q44" s="170"/>
      <c r="R44" s="169"/>
      <c r="S44" s="169"/>
      <c r="T44" s="169"/>
      <c r="U44" s="169"/>
      <c r="V44" s="169"/>
      <c r="W44" s="169"/>
      <c r="X44" s="169"/>
      <c r="Y44" s="169"/>
      <c r="Z44" s="171"/>
      <c r="AA44" s="171"/>
      <c r="AB44" s="171"/>
      <c r="AC44" s="171"/>
      <c r="AD44" s="171"/>
      <c r="AE44" s="171"/>
      <c r="AF44" s="171"/>
      <c r="AG44" s="171" t="s">
        <v>148</v>
      </c>
      <c r="AH44" s="171">
        <v>0</v>
      </c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</row>
    <row r="45" spans="1:60" outlineLevel="3" x14ac:dyDescent="0.2">
      <c r="A45" s="172"/>
      <c r="B45" s="173"/>
      <c r="C45" s="174" t="s">
        <v>166</v>
      </c>
      <c r="D45" s="175"/>
      <c r="E45" s="176">
        <v>2.8</v>
      </c>
      <c r="F45" s="196"/>
      <c r="G45" s="169"/>
      <c r="H45" s="169"/>
      <c r="I45" s="169"/>
      <c r="J45" s="169"/>
      <c r="K45" s="169"/>
      <c r="L45" s="169"/>
      <c r="M45" s="169"/>
      <c r="N45" s="170"/>
      <c r="O45" s="170"/>
      <c r="P45" s="170"/>
      <c r="Q45" s="170"/>
      <c r="R45" s="169"/>
      <c r="S45" s="169"/>
      <c r="T45" s="169"/>
      <c r="U45" s="169"/>
      <c r="V45" s="169"/>
      <c r="W45" s="169"/>
      <c r="X45" s="169"/>
      <c r="Y45" s="169"/>
      <c r="Z45" s="171"/>
      <c r="AA45" s="171"/>
      <c r="AB45" s="171"/>
      <c r="AC45" s="171"/>
      <c r="AD45" s="171"/>
      <c r="AE45" s="171"/>
      <c r="AF45" s="171"/>
      <c r="AG45" s="171" t="s">
        <v>148</v>
      </c>
      <c r="AH45" s="171">
        <v>0</v>
      </c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</row>
    <row r="46" spans="1:60" outlineLevel="3" x14ac:dyDescent="0.2">
      <c r="A46" s="172"/>
      <c r="B46" s="173"/>
      <c r="C46" s="174" t="s">
        <v>169</v>
      </c>
      <c r="D46" s="175"/>
      <c r="E46" s="176">
        <v>6.1749999999999998</v>
      </c>
      <c r="F46" s="196"/>
      <c r="G46" s="169"/>
      <c r="H46" s="169"/>
      <c r="I46" s="169"/>
      <c r="J46" s="169"/>
      <c r="K46" s="169"/>
      <c r="L46" s="169"/>
      <c r="M46" s="169"/>
      <c r="N46" s="170"/>
      <c r="O46" s="170"/>
      <c r="P46" s="170"/>
      <c r="Q46" s="170"/>
      <c r="R46" s="169"/>
      <c r="S46" s="169"/>
      <c r="T46" s="169"/>
      <c r="U46" s="169"/>
      <c r="V46" s="169"/>
      <c r="W46" s="169"/>
      <c r="X46" s="169"/>
      <c r="Y46" s="169"/>
      <c r="Z46" s="171"/>
      <c r="AA46" s="171"/>
      <c r="AB46" s="171"/>
      <c r="AC46" s="171"/>
      <c r="AD46" s="171"/>
      <c r="AE46" s="171"/>
      <c r="AF46" s="171"/>
      <c r="AG46" s="171" t="s">
        <v>148</v>
      </c>
      <c r="AH46" s="171">
        <v>0</v>
      </c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</row>
    <row r="47" spans="1:60" ht="22.5" outlineLevel="1" x14ac:dyDescent="0.2">
      <c r="A47" s="177">
        <v>5</v>
      </c>
      <c r="B47" s="178" t="s">
        <v>170</v>
      </c>
      <c r="C47" s="179" t="s">
        <v>171</v>
      </c>
      <c r="D47" s="180" t="s">
        <v>159</v>
      </c>
      <c r="E47" s="181">
        <v>140.9273</v>
      </c>
      <c r="F47" s="141"/>
      <c r="G47" s="182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69"/>
      <c r="S47" s="169" t="s">
        <v>143</v>
      </c>
      <c r="T47" s="169" t="s">
        <v>143</v>
      </c>
      <c r="U47" s="169">
        <v>0</v>
      </c>
      <c r="V47" s="169">
        <f>ROUND(E47*U47,2)</f>
        <v>0</v>
      </c>
      <c r="W47" s="169"/>
      <c r="X47" s="169" t="s">
        <v>144</v>
      </c>
      <c r="Y47" s="169" t="s">
        <v>145</v>
      </c>
      <c r="Z47" s="171"/>
      <c r="AA47" s="171"/>
      <c r="AB47" s="171"/>
      <c r="AC47" s="171"/>
      <c r="AD47" s="171"/>
      <c r="AE47" s="171"/>
      <c r="AF47" s="171"/>
      <c r="AG47" s="171" t="s">
        <v>146</v>
      </c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</row>
    <row r="48" spans="1:60" ht="22.5" outlineLevel="1" x14ac:dyDescent="0.2">
      <c r="A48" s="162">
        <v>6</v>
      </c>
      <c r="B48" s="163" t="s">
        <v>172</v>
      </c>
      <c r="C48" s="164" t="s">
        <v>173</v>
      </c>
      <c r="D48" s="165" t="s">
        <v>159</v>
      </c>
      <c r="E48" s="166">
        <v>140.9273</v>
      </c>
      <c r="F48" s="140"/>
      <c r="G48" s="167">
        <f>ROUND(E48*F48,2)</f>
        <v>0</v>
      </c>
      <c r="H48" s="168"/>
      <c r="I48" s="169">
        <f>ROUND(E48*H48,2)</f>
        <v>0</v>
      </c>
      <c r="J48" s="168"/>
      <c r="K48" s="169">
        <f>ROUND(E48*J48,2)</f>
        <v>0</v>
      </c>
      <c r="L48" s="169">
        <v>21</v>
      </c>
      <c r="M48" s="169">
        <f>G48*(1+L48/100)</f>
        <v>0</v>
      </c>
      <c r="N48" s="170">
        <v>2.1350000000000001E-2</v>
      </c>
      <c r="O48" s="170">
        <f>ROUND(E48*N48,2)</f>
        <v>3.01</v>
      </c>
      <c r="P48" s="170">
        <v>0</v>
      </c>
      <c r="Q48" s="170">
        <f>ROUND(E48*P48,2)</f>
        <v>0</v>
      </c>
      <c r="R48" s="169"/>
      <c r="S48" s="169" t="s">
        <v>143</v>
      </c>
      <c r="T48" s="169" t="s">
        <v>143</v>
      </c>
      <c r="U48" s="169">
        <v>0.95799999999999996</v>
      </c>
      <c r="V48" s="169">
        <f>ROUND(E48*U48,2)</f>
        <v>135.01</v>
      </c>
      <c r="W48" s="169"/>
      <c r="X48" s="169" t="s">
        <v>144</v>
      </c>
      <c r="Y48" s="169" t="s">
        <v>145</v>
      </c>
      <c r="Z48" s="171"/>
      <c r="AA48" s="171"/>
      <c r="AB48" s="171"/>
      <c r="AC48" s="171"/>
      <c r="AD48" s="171"/>
      <c r="AE48" s="171"/>
      <c r="AF48" s="171"/>
      <c r="AG48" s="171" t="s">
        <v>146</v>
      </c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</row>
    <row r="49" spans="1:60" outlineLevel="2" x14ac:dyDescent="0.2">
      <c r="A49" s="172"/>
      <c r="B49" s="173"/>
      <c r="C49" s="174" t="s">
        <v>174</v>
      </c>
      <c r="D49" s="175"/>
      <c r="E49" s="176"/>
      <c r="F49" s="196"/>
      <c r="G49" s="169"/>
      <c r="H49" s="169"/>
      <c r="I49" s="169"/>
      <c r="J49" s="169"/>
      <c r="K49" s="169"/>
      <c r="L49" s="169"/>
      <c r="M49" s="169"/>
      <c r="N49" s="170"/>
      <c r="O49" s="170"/>
      <c r="P49" s="170"/>
      <c r="Q49" s="170"/>
      <c r="R49" s="169"/>
      <c r="S49" s="169"/>
      <c r="T49" s="169"/>
      <c r="U49" s="169"/>
      <c r="V49" s="169"/>
      <c r="W49" s="169"/>
      <c r="X49" s="169"/>
      <c r="Y49" s="169"/>
      <c r="Z49" s="171"/>
      <c r="AA49" s="171"/>
      <c r="AB49" s="171"/>
      <c r="AC49" s="171"/>
      <c r="AD49" s="171"/>
      <c r="AE49" s="171"/>
      <c r="AF49" s="171"/>
      <c r="AG49" s="171" t="s">
        <v>148</v>
      </c>
      <c r="AH49" s="171">
        <v>0</v>
      </c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</row>
    <row r="50" spans="1:60" outlineLevel="3" x14ac:dyDescent="0.2">
      <c r="A50" s="172"/>
      <c r="B50" s="173"/>
      <c r="C50" s="174" t="s">
        <v>149</v>
      </c>
      <c r="D50" s="175"/>
      <c r="E50" s="176"/>
      <c r="F50" s="196"/>
      <c r="G50" s="169"/>
      <c r="H50" s="169"/>
      <c r="I50" s="169"/>
      <c r="J50" s="169"/>
      <c r="K50" s="169"/>
      <c r="L50" s="169"/>
      <c r="M50" s="169"/>
      <c r="N50" s="170"/>
      <c r="O50" s="170"/>
      <c r="P50" s="170"/>
      <c r="Q50" s="170"/>
      <c r="R50" s="169"/>
      <c r="S50" s="169"/>
      <c r="T50" s="169"/>
      <c r="U50" s="169"/>
      <c r="V50" s="169"/>
      <c r="W50" s="169"/>
      <c r="X50" s="169"/>
      <c r="Y50" s="169"/>
      <c r="Z50" s="171"/>
      <c r="AA50" s="171"/>
      <c r="AB50" s="171"/>
      <c r="AC50" s="171"/>
      <c r="AD50" s="171"/>
      <c r="AE50" s="171"/>
      <c r="AF50" s="171"/>
      <c r="AG50" s="171" t="s">
        <v>148</v>
      </c>
      <c r="AH50" s="171">
        <v>0</v>
      </c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</row>
    <row r="51" spans="1:60" outlineLevel="3" x14ac:dyDescent="0.2">
      <c r="A51" s="172"/>
      <c r="B51" s="173"/>
      <c r="C51" s="174" t="s">
        <v>175</v>
      </c>
      <c r="D51" s="175"/>
      <c r="E51" s="176">
        <v>8.8074999999999992</v>
      </c>
      <c r="F51" s="196"/>
      <c r="G51" s="169"/>
      <c r="H51" s="169"/>
      <c r="I51" s="169"/>
      <c r="J51" s="169"/>
      <c r="K51" s="169"/>
      <c r="L51" s="169"/>
      <c r="M51" s="169"/>
      <c r="N51" s="170"/>
      <c r="O51" s="170"/>
      <c r="P51" s="170"/>
      <c r="Q51" s="170"/>
      <c r="R51" s="169"/>
      <c r="S51" s="169"/>
      <c r="T51" s="169"/>
      <c r="U51" s="169"/>
      <c r="V51" s="169"/>
      <c r="W51" s="169"/>
      <c r="X51" s="169"/>
      <c r="Y51" s="169"/>
      <c r="Z51" s="171"/>
      <c r="AA51" s="171"/>
      <c r="AB51" s="171"/>
      <c r="AC51" s="171"/>
      <c r="AD51" s="171"/>
      <c r="AE51" s="171"/>
      <c r="AF51" s="171"/>
      <c r="AG51" s="171" t="s">
        <v>148</v>
      </c>
      <c r="AH51" s="171">
        <v>0</v>
      </c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</row>
    <row r="52" spans="1:60" outlineLevel="3" x14ac:dyDescent="0.2">
      <c r="A52" s="172"/>
      <c r="B52" s="173"/>
      <c r="C52" s="174" t="s">
        <v>176</v>
      </c>
      <c r="D52" s="175"/>
      <c r="E52" s="176">
        <v>2.9575</v>
      </c>
      <c r="F52" s="196"/>
      <c r="G52" s="169"/>
      <c r="H52" s="169"/>
      <c r="I52" s="169"/>
      <c r="J52" s="169"/>
      <c r="K52" s="169"/>
      <c r="L52" s="169"/>
      <c r="M52" s="169"/>
      <c r="N52" s="170"/>
      <c r="O52" s="170"/>
      <c r="P52" s="170"/>
      <c r="Q52" s="170"/>
      <c r="R52" s="169"/>
      <c r="S52" s="169"/>
      <c r="T52" s="169"/>
      <c r="U52" s="169"/>
      <c r="V52" s="169"/>
      <c r="W52" s="169"/>
      <c r="X52" s="169"/>
      <c r="Y52" s="169"/>
      <c r="Z52" s="171"/>
      <c r="AA52" s="171"/>
      <c r="AB52" s="171"/>
      <c r="AC52" s="171"/>
      <c r="AD52" s="171"/>
      <c r="AE52" s="171"/>
      <c r="AF52" s="171"/>
      <c r="AG52" s="171" t="s">
        <v>148</v>
      </c>
      <c r="AH52" s="171">
        <v>0</v>
      </c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</row>
    <row r="53" spans="1:60" outlineLevel="3" x14ac:dyDescent="0.2">
      <c r="A53" s="172"/>
      <c r="B53" s="173"/>
      <c r="C53" s="174" t="s">
        <v>177</v>
      </c>
      <c r="D53" s="175"/>
      <c r="E53" s="176">
        <v>4.7873999999999999</v>
      </c>
      <c r="F53" s="196"/>
      <c r="G53" s="169"/>
      <c r="H53" s="169"/>
      <c r="I53" s="169"/>
      <c r="J53" s="169"/>
      <c r="K53" s="169"/>
      <c r="L53" s="169"/>
      <c r="M53" s="169"/>
      <c r="N53" s="170"/>
      <c r="O53" s="170"/>
      <c r="P53" s="170"/>
      <c r="Q53" s="170"/>
      <c r="R53" s="169"/>
      <c r="S53" s="169"/>
      <c r="T53" s="169"/>
      <c r="U53" s="169"/>
      <c r="V53" s="169"/>
      <c r="W53" s="169"/>
      <c r="X53" s="169"/>
      <c r="Y53" s="169"/>
      <c r="Z53" s="171"/>
      <c r="AA53" s="171"/>
      <c r="AB53" s="171"/>
      <c r="AC53" s="171"/>
      <c r="AD53" s="171"/>
      <c r="AE53" s="171"/>
      <c r="AF53" s="171"/>
      <c r="AG53" s="171" t="s">
        <v>148</v>
      </c>
      <c r="AH53" s="171">
        <v>0</v>
      </c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</row>
    <row r="54" spans="1:60" outlineLevel="3" x14ac:dyDescent="0.2">
      <c r="A54" s="172"/>
      <c r="B54" s="173"/>
      <c r="C54" s="174" t="s">
        <v>178</v>
      </c>
      <c r="D54" s="175"/>
      <c r="E54" s="176">
        <v>2.4300000000000002</v>
      </c>
      <c r="F54" s="196"/>
      <c r="G54" s="169"/>
      <c r="H54" s="169"/>
      <c r="I54" s="169"/>
      <c r="J54" s="169"/>
      <c r="K54" s="169"/>
      <c r="L54" s="169"/>
      <c r="M54" s="169"/>
      <c r="N54" s="170"/>
      <c r="O54" s="170"/>
      <c r="P54" s="170"/>
      <c r="Q54" s="170"/>
      <c r="R54" s="169"/>
      <c r="S54" s="169"/>
      <c r="T54" s="169"/>
      <c r="U54" s="169"/>
      <c r="V54" s="169"/>
      <c r="W54" s="169"/>
      <c r="X54" s="169"/>
      <c r="Y54" s="169"/>
      <c r="Z54" s="171"/>
      <c r="AA54" s="171"/>
      <c r="AB54" s="171"/>
      <c r="AC54" s="171"/>
      <c r="AD54" s="171"/>
      <c r="AE54" s="171"/>
      <c r="AF54" s="171"/>
      <c r="AG54" s="171" t="s">
        <v>148</v>
      </c>
      <c r="AH54" s="171">
        <v>0</v>
      </c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</row>
    <row r="55" spans="1:60" outlineLevel="3" x14ac:dyDescent="0.2">
      <c r="A55" s="172"/>
      <c r="B55" s="173"/>
      <c r="C55" s="174" t="s">
        <v>179</v>
      </c>
      <c r="D55" s="175"/>
      <c r="E55" s="176">
        <v>4.29</v>
      </c>
      <c r="F55" s="196"/>
      <c r="G55" s="169"/>
      <c r="H55" s="169"/>
      <c r="I55" s="169"/>
      <c r="J55" s="169"/>
      <c r="K55" s="169"/>
      <c r="L55" s="169"/>
      <c r="M55" s="169"/>
      <c r="N55" s="170"/>
      <c r="O55" s="170"/>
      <c r="P55" s="170"/>
      <c r="Q55" s="170"/>
      <c r="R55" s="169"/>
      <c r="S55" s="169"/>
      <c r="T55" s="169"/>
      <c r="U55" s="169"/>
      <c r="V55" s="169"/>
      <c r="W55" s="169"/>
      <c r="X55" s="169"/>
      <c r="Y55" s="169"/>
      <c r="Z55" s="171"/>
      <c r="AA55" s="171"/>
      <c r="AB55" s="171"/>
      <c r="AC55" s="171"/>
      <c r="AD55" s="171"/>
      <c r="AE55" s="171"/>
      <c r="AF55" s="171"/>
      <c r="AG55" s="171" t="s">
        <v>148</v>
      </c>
      <c r="AH55" s="171">
        <v>0</v>
      </c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</row>
    <row r="56" spans="1:60" outlineLevel="3" x14ac:dyDescent="0.2">
      <c r="A56" s="172"/>
      <c r="B56" s="173"/>
      <c r="C56" s="174" t="s">
        <v>180</v>
      </c>
      <c r="D56" s="175"/>
      <c r="E56" s="176">
        <v>4.8449999999999998</v>
      </c>
      <c r="F56" s="196"/>
      <c r="G56" s="169"/>
      <c r="H56" s="169"/>
      <c r="I56" s="169"/>
      <c r="J56" s="169"/>
      <c r="K56" s="169"/>
      <c r="L56" s="169"/>
      <c r="M56" s="169"/>
      <c r="N56" s="170"/>
      <c r="O56" s="170"/>
      <c r="P56" s="170"/>
      <c r="Q56" s="170"/>
      <c r="R56" s="169"/>
      <c r="S56" s="169"/>
      <c r="T56" s="169"/>
      <c r="U56" s="169"/>
      <c r="V56" s="169"/>
      <c r="W56" s="169"/>
      <c r="X56" s="169"/>
      <c r="Y56" s="169"/>
      <c r="Z56" s="171"/>
      <c r="AA56" s="171"/>
      <c r="AB56" s="171"/>
      <c r="AC56" s="171"/>
      <c r="AD56" s="171"/>
      <c r="AE56" s="171"/>
      <c r="AF56" s="171"/>
      <c r="AG56" s="171" t="s">
        <v>148</v>
      </c>
      <c r="AH56" s="171">
        <v>0</v>
      </c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</row>
    <row r="57" spans="1:60" outlineLevel="3" x14ac:dyDescent="0.2">
      <c r="A57" s="172"/>
      <c r="B57" s="173"/>
      <c r="C57" s="174" t="s">
        <v>181</v>
      </c>
      <c r="D57" s="175"/>
      <c r="E57" s="176">
        <v>5.7850000000000001</v>
      </c>
      <c r="F57" s="196"/>
      <c r="G57" s="169"/>
      <c r="H57" s="169"/>
      <c r="I57" s="169"/>
      <c r="J57" s="169"/>
      <c r="K57" s="169"/>
      <c r="L57" s="169"/>
      <c r="M57" s="169"/>
      <c r="N57" s="170"/>
      <c r="O57" s="170"/>
      <c r="P57" s="170"/>
      <c r="Q57" s="170"/>
      <c r="R57" s="169"/>
      <c r="S57" s="169"/>
      <c r="T57" s="169"/>
      <c r="U57" s="169"/>
      <c r="V57" s="169"/>
      <c r="W57" s="169"/>
      <c r="X57" s="169"/>
      <c r="Y57" s="169"/>
      <c r="Z57" s="171"/>
      <c r="AA57" s="171"/>
      <c r="AB57" s="171"/>
      <c r="AC57" s="171"/>
      <c r="AD57" s="171"/>
      <c r="AE57" s="171"/>
      <c r="AF57" s="171"/>
      <c r="AG57" s="171" t="s">
        <v>148</v>
      </c>
      <c r="AH57" s="171">
        <v>0</v>
      </c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</row>
    <row r="58" spans="1:60" outlineLevel="3" x14ac:dyDescent="0.2">
      <c r="A58" s="172"/>
      <c r="B58" s="173"/>
      <c r="C58" s="174" t="s">
        <v>182</v>
      </c>
      <c r="D58" s="175"/>
      <c r="E58" s="176">
        <v>10.4</v>
      </c>
      <c r="F58" s="196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0"/>
      <c r="R58" s="169"/>
      <c r="S58" s="169"/>
      <c r="T58" s="169"/>
      <c r="U58" s="169"/>
      <c r="V58" s="169"/>
      <c r="W58" s="169"/>
      <c r="X58" s="169"/>
      <c r="Y58" s="169"/>
      <c r="Z58" s="171"/>
      <c r="AA58" s="171"/>
      <c r="AB58" s="171"/>
      <c r="AC58" s="171"/>
      <c r="AD58" s="171"/>
      <c r="AE58" s="171"/>
      <c r="AF58" s="171"/>
      <c r="AG58" s="171" t="s">
        <v>148</v>
      </c>
      <c r="AH58" s="171">
        <v>0</v>
      </c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</row>
    <row r="59" spans="1:60" outlineLevel="3" x14ac:dyDescent="0.2">
      <c r="A59" s="172"/>
      <c r="B59" s="173"/>
      <c r="C59" s="174" t="s">
        <v>151</v>
      </c>
      <c r="D59" s="175"/>
      <c r="E59" s="176"/>
      <c r="F59" s="196"/>
      <c r="G59" s="169"/>
      <c r="H59" s="169"/>
      <c r="I59" s="169"/>
      <c r="J59" s="169"/>
      <c r="K59" s="169"/>
      <c r="L59" s="169"/>
      <c r="M59" s="169"/>
      <c r="N59" s="170"/>
      <c r="O59" s="170"/>
      <c r="P59" s="170"/>
      <c r="Q59" s="170"/>
      <c r="R59" s="169"/>
      <c r="S59" s="169"/>
      <c r="T59" s="169"/>
      <c r="U59" s="169"/>
      <c r="V59" s="169"/>
      <c r="W59" s="169"/>
      <c r="X59" s="169"/>
      <c r="Y59" s="169"/>
      <c r="Z59" s="171"/>
      <c r="AA59" s="171"/>
      <c r="AB59" s="171"/>
      <c r="AC59" s="171"/>
      <c r="AD59" s="171"/>
      <c r="AE59" s="171"/>
      <c r="AF59" s="171"/>
      <c r="AG59" s="171" t="s">
        <v>148</v>
      </c>
      <c r="AH59" s="171">
        <v>0</v>
      </c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</row>
    <row r="60" spans="1:60" outlineLevel="3" x14ac:dyDescent="0.2">
      <c r="A60" s="172"/>
      <c r="B60" s="173"/>
      <c r="C60" s="174" t="s">
        <v>183</v>
      </c>
      <c r="D60" s="175"/>
      <c r="E60" s="176">
        <v>8.7424999999999997</v>
      </c>
      <c r="F60" s="196"/>
      <c r="G60" s="169"/>
      <c r="H60" s="169"/>
      <c r="I60" s="169"/>
      <c r="J60" s="169"/>
      <c r="K60" s="169"/>
      <c r="L60" s="169"/>
      <c r="M60" s="169"/>
      <c r="N60" s="170"/>
      <c r="O60" s="170"/>
      <c r="P60" s="170"/>
      <c r="Q60" s="170"/>
      <c r="R60" s="169"/>
      <c r="S60" s="169"/>
      <c r="T60" s="169"/>
      <c r="U60" s="169"/>
      <c r="V60" s="169"/>
      <c r="W60" s="169"/>
      <c r="X60" s="169"/>
      <c r="Y60" s="169"/>
      <c r="Z60" s="171"/>
      <c r="AA60" s="171"/>
      <c r="AB60" s="171"/>
      <c r="AC60" s="171"/>
      <c r="AD60" s="171"/>
      <c r="AE60" s="171"/>
      <c r="AF60" s="171"/>
      <c r="AG60" s="171" t="s">
        <v>148</v>
      </c>
      <c r="AH60" s="171">
        <v>0</v>
      </c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</row>
    <row r="61" spans="1:60" outlineLevel="3" x14ac:dyDescent="0.2">
      <c r="A61" s="172"/>
      <c r="B61" s="173"/>
      <c r="C61" s="174" t="s">
        <v>184</v>
      </c>
      <c r="D61" s="175"/>
      <c r="E61" s="176">
        <v>2.5674999999999999</v>
      </c>
      <c r="F61" s="196"/>
      <c r="G61" s="169"/>
      <c r="H61" s="169"/>
      <c r="I61" s="169"/>
      <c r="J61" s="169"/>
      <c r="K61" s="169"/>
      <c r="L61" s="169"/>
      <c r="M61" s="169"/>
      <c r="N61" s="170"/>
      <c r="O61" s="170"/>
      <c r="P61" s="170"/>
      <c r="Q61" s="170"/>
      <c r="R61" s="169"/>
      <c r="S61" s="169"/>
      <c r="T61" s="169"/>
      <c r="U61" s="169"/>
      <c r="V61" s="169"/>
      <c r="W61" s="169"/>
      <c r="X61" s="169"/>
      <c r="Y61" s="169"/>
      <c r="Z61" s="171"/>
      <c r="AA61" s="171"/>
      <c r="AB61" s="171"/>
      <c r="AC61" s="171"/>
      <c r="AD61" s="171"/>
      <c r="AE61" s="171"/>
      <c r="AF61" s="171"/>
      <c r="AG61" s="171" t="s">
        <v>148</v>
      </c>
      <c r="AH61" s="171">
        <v>0</v>
      </c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</row>
    <row r="62" spans="1:60" outlineLevel="3" x14ac:dyDescent="0.2">
      <c r="A62" s="172"/>
      <c r="B62" s="173"/>
      <c r="C62" s="174" t="s">
        <v>185</v>
      </c>
      <c r="D62" s="175"/>
      <c r="E62" s="176">
        <v>4.55</v>
      </c>
      <c r="F62" s="196"/>
      <c r="G62" s="169"/>
      <c r="H62" s="169"/>
      <c r="I62" s="169"/>
      <c r="J62" s="169"/>
      <c r="K62" s="169"/>
      <c r="L62" s="169"/>
      <c r="M62" s="169"/>
      <c r="N62" s="170"/>
      <c r="O62" s="170"/>
      <c r="P62" s="170"/>
      <c r="Q62" s="170"/>
      <c r="R62" s="169"/>
      <c r="S62" s="169"/>
      <c r="T62" s="169"/>
      <c r="U62" s="169"/>
      <c r="V62" s="169"/>
      <c r="W62" s="169"/>
      <c r="X62" s="169"/>
      <c r="Y62" s="169"/>
      <c r="Z62" s="171"/>
      <c r="AA62" s="171"/>
      <c r="AB62" s="171"/>
      <c r="AC62" s="171"/>
      <c r="AD62" s="171"/>
      <c r="AE62" s="171"/>
      <c r="AF62" s="171"/>
      <c r="AG62" s="171" t="s">
        <v>148</v>
      </c>
      <c r="AH62" s="171">
        <v>0</v>
      </c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</row>
    <row r="63" spans="1:60" outlineLevel="3" x14ac:dyDescent="0.2">
      <c r="A63" s="172"/>
      <c r="B63" s="173"/>
      <c r="C63" s="174" t="s">
        <v>186</v>
      </c>
      <c r="D63" s="175"/>
      <c r="E63" s="176">
        <v>4.7233000000000001</v>
      </c>
      <c r="F63" s="196"/>
      <c r="G63" s="169"/>
      <c r="H63" s="169"/>
      <c r="I63" s="169"/>
      <c r="J63" s="169"/>
      <c r="K63" s="169"/>
      <c r="L63" s="169"/>
      <c r="M63" s="169"/>
      <c r="N63" s="170"/>
      <c r="O63" s="170"/>
      <c r="P63" s="170"/>
      <c r="Q63" s="170"/>
      <c r="R63" s="169"/>
      <c r="S63" s="169"/>
      <c r="T63" s="169"/>
      <c r="U63" s="169"/>
      <c r="V63" s="169"/>
      <c r="W63" s="169"/>
      <c r="X63" s="169"/>
      <c r="Y63" s="169"/>
      <c r="Z63" s="171"/>
      <c r="AA63" s="171"/>
      <c r="AB63" s="171"/>
      <c r="AC63" s="171"/>
      <c r="AD63" s="171"/>
      <c r="AE63" s="171"/>
      <c r="AF63" s="171"/>
      <c r="AG63" s="171" t="s">
        <v>148</v>
      </c>
      <c r="AH63" s="171">
        <v>0</v>
      </c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</row>
    <row r="64" spans="1:60" outlineLevel="3" x14ac:dyDescent="0.2">
      <c r="A64" s="172"/>
      <c r="B64" s="173"/>
      <c r="C64" s="174" t="s">
        <v>187</v>
      </c>
      <c r="D64" s="175"/>
      <c r="E64" s="176">
        <v>1.9817</v>
      </c>
      <c r="F64" s="196"/>
      <c r="G64" s="169"/>
      <c r="H64" s="169"/>
      <c r="I64" s="169"/>
      <c r="J64" s="169"/>
      <c r="K64" s="169"/>
      <c r="L64" s="169"/>
      <c r="M64" s="169"/>
      <c r="N64" s="170"/>
      <c r="O64" s="170"/>
      <c r="P64" s="170"/>
      <c r="Q64" s="170"/>
      <c r="R64" s="169"/>
      <c r="S64" s="169"/>
      <c r="T64" s="169"/>
      <c r="U64" s="169"/>
      <c r="V64" s="169"/>
      <c r="W64" s="169"/>
      <c r="X64" s="169"/>
      <c r="Y64" s="169"/>
      <c r="Z64" s="171"/>
      <c r="AA64" s="171"/>
      <c r="AB64" s="171"/>
      <c r="AC64" s="171"/>
      <c r="AD64" s="171"/>
      <c r="AE64" s="171"/>
      <c r="AF64" s="171"/>
      <c r="AG64" s="171" t="s">
        <v>148</v>
      </c>
      <c r="AH64" s="171">
        <v>0</v>
      </c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</row>
    <row r="65" spans="1:60" outlineLevel="3" x14ac:dyDescent="0.2">
      <c r="A65" s="172"/>
      <c r="B65" s="173"/>
      <c r="C65" s="174" t="s">
        <v>188</v>
      </c>
      <c r="D65" s="175"/>
      <c r="E65" s="176">
        <v>5.6875</v>
      </c>
      <c r="F65" s="196"/>
      <c r="G65" s="169"/>
      <c r="H65" s="169"/>
      <c r="I65" s="169"/>
      <c r="J65" s="169"/>
      <c r="K65" s="169"/>
      <c r="L65" s="169"/>
      <c r="M65" s="169"/>
      <c r="N65" s="170"/>
      <c r="O65" s="170"/>
      <c r="P65" s="170"/>
      <c r="Q65" s="170"/>
      <c r="R65" s="169"/>
      <c r="S65" s="169"/>
      <c r="T65" s="169"/>
      <c r="U65" s="169"/>
      <c r="V65" s="169"/>
      <c r="W65" s="169"/>
      <c r="X65" s="169"/>
      <c r="Y65" s="169"/>
      <c r="Z65" s="171"/>
      <c r="AA65" s="171"/>
      <c r="AB65" s="171"/>
      <c r="AC65" s="171"/>
      <c r="AD65" s="171"/>
      <c r="AE65" s="171"/>
      <c r="AF65" s="171"/>
      <c r="AG65" s="171" t="s">
        <v>148</v>
      </c>
      <c r="AH65" s="171">
        <v>0</v>
      </c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</row>
    <row r="66" spans="1:60" outlineLevel="3" x14ac:dyDescent="0.2">
      <c r="A66" s="172"/>
      <c r="B66" s="173"/>
      <c r="C66" s="174" t="s">
        <v>189</v>
      </c>
      <c r="D66" s="175"/>
      <c r="E66" s="176">
        <v>4.8127000000000004</v>
      </c>
      <c r="F66" s="196"/>
      <c r="G66" s="169"/>
      <c r="H66" s="169"/>
      <c r="I66" s="169"/>
      <c r="J66" s="169"/>
      <c r="K66" s="169"/>
      <c r="L66" s="169"/>
      <c r="M66" s="169"/>
      <c r="N66" s="170"/>
      <c r="O66" s="170"/>
      <c r="P66" s="170"/>
      <c r="Q66" s="170"/>
      <c r="R66" s="169"/>
      <c r="S66" s="169"/>
      <c r="T66" s="169"/>
      <c r="U66" s="169"/>
      <c r="V66" s="169"/>
      <c r="W66" s="169"/>
      <c r="X66" s="169"/>
      <c r="Y66" s="169"/>
      <c r="Z66" s="171"/>
      <c r="AA66" s="171"/>
      <c r="AB66" s="171"/>
      <c r="AC66" s="171"/>
      <c r="AD66" s="171"/>
      <c r="AE66" s="171"/>
      <c r="AF66" s="171"/>
      <c r="AG66" s="171" t="s">
        <v>148</v>
      </c>
      <c r="AH66" s="171">
        <v>0</v>
      </c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</row>
    <row r="67" spans="1:60" outlineLevel="3" x14ac:dyDescent="0.2">
      <c r="A67" s="172"/>
      <c r="B67" s="173"/>
      <c r="C67" s="174" t="s">
        <v>182</v>
      </c>
      <c r="D67" s="175"/>
      <c r="E67" s="176">
        <v>10.4</v>
      </c>
      <c r="F67" s="196"/>
      <c r="G67" s="169"/>
      <c r="H67" s="169"/>
      <c r="I67" s="169"/>
      <c r="J67" s="169"/>
      <c r="K67" s="169"/>
      <c r="L67" s="169"/>
      <c r="M67" s="169"/>
      <c r="N67" s="170"/>
      <c r="O67" s="170"/>
      <c r="P67" s="170"/>
      <c r="Q67" s="170"/>
      <c r="R67" s="169"/>
      <c r="S67" s="169"/>
      <c r="T67" s="169"/>
      <c r="U67" s="169"/>
      <c r="V67" s="169"/>
      <c r="W67" s="169"/>
      <c r="X67" s="169"/>
      <c r="Y67" s="169"/>
      <c r="Z67" s="171"/>
      <c r="AA67" s="171"/>
      <c r="AB67" s="171"/>
      <c r="AC67" s="171"/>
      <c r="AD67" s="171"/>
      <c r="AE67" s="171"/>
      <c r="AF67" s="171"/>
      <c r="AG67" s="171" t="s">
        <v>148</v>
      </c>
      <c r="AH67" s="171">
        <v>0</v>
      </c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</row>
    <row r="68" spans="1:60" outlineLevel="3" x14ac:dyDescent="0.2">
      <c r="A68" s="172"/>
      <c r="B68" s="173"/>
      <c r="C68" s="174" t="s">
        <v>152</v>
      </c>
      <c r="D68" s="175"/>
      <c r="E68" s="176"/>
      <c r="F68" s="196"/>
      <c r="G68" s="169"/>
      <c r="H68" s="169"/>
      <c r="I68" s="169"/>
      <c r="J68" s="169"/>
      <c r="K68" s="169"/>
      <c r="L68" s="169"/>
      <c r="M68" s="169"/>
      <c r="N68" s="170"/>
      <c r="O68" s="170"/>
      <c r="P68" s="170"/>
      <c r="Q68" s="170"/>
      <c r="R68" s="169"/>
      <c r="S68" s="169"/>
      <c r="T68" s="169"/>
      <c r="U68" s="169"/>
      <c r="V68" s="169"/>
      <c r="W68" s="169"/>
      <c r="X68" s="169"/>
      <c r="Y68" s="169"/>
      <c r="Z68" s="171"/>
      <c r="AA68" s="171"/>
      <c r="AB68" s="171"/>
      <c r="AC68" s="171"/>
      <c r="AD68" s="171"/>
      <c r="AE68" s="171"/>
      <c r="AF68" s="171"/>
      <c r="AG68" s="171" t="s">
        <v>148</v>
      </c>
      <c r="AH68" s="171">
        <v>0</v>
      </c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</row>
    <row r="69" spans="1:60" outlineLevel="3" x14ac:dyDescent="0.2">
      <c r="A69" s="172"/>
      <c r="B69" s="173"/>
      <c r="C69" s="174" t="s">
        <v>190</v>
      </c>
      <c r="D69" s="175"/>
      <c r="E69" s="176">
        <v>8.7100000000000009</v>
      </c>
      <c r="F69" s="196"/>
      <c r="G69" s="169"/>
      <c r="H69" s="169"/>
      <c r="I69" s="169"/>
      <c r="J69" s="169"/>
      <c r="K69" s="169"/>
      <c r="L69" s="169"/>
      <c r="M69" s="169"/>
      <c r="N69" s="170"/>
      <c r="O69" s="170"/>
      <c r="P69" s="170"/>
      <c r="Q69" s="170"/>
      <c r="R69" s="169"/>
      <c r="S69" s="169"/>
      <c r="T69" s="169"/>
      <c r="U69" s="169"/>
      <c r="V69" s="169"/>
      <c r="W69" s="169"/>
      <c r="X69" s="169"/>
      <c r="Y69" s="169"/>
      <c r="Z69" s="171"/>
      <c r="AA69" s="171"/>
      <c r="AB69" s="171"/>
      <c r="AC69" s="171"/>
      <c r="AD69" s="171"/>
      <c r="AE69" s="171"/>
      <c r="AF69" s="171"/>
      <c r="AG69" s="171" t="s">
        <v>148</v>
      </c>
      <c r="AH69" s="171">
        <v>0</v>
      </c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</row>
    <row r="70" spans="1:60" outlineLevel="3" x14ac:dyDescent="0.2">
      <c r="A70" s="172"/>
      <c r="B70" s="173"/>
      <c r="C70" s="174" t="s">
        <v>176</v>
      </c>
      <c r="D70" s="175"/>
      <c r="E70" s="176">
        <v>2.9575</v>
      </c>
      <c r="F70" s="196"/>
      <c r="G70" s="169"/>
      <c r="H70" s="169"/>
      <c r="I70" s="169"/>
      <c r="J70" s="169"/>
      <c r="K70" s="169"/>
      <c r="L70" s="169"/>
      <c r="M70" s="169"/>
      <c r="N70" s="170"/>
      <c r="O70" s="170"/>
      <c r="P70" s="170"/>
      <c r="Q70" s="170"/>
      <c r="R70" s="169"/>
      <c r="S70" s="169"/>
      <c r="T70" s="169"/>
      <c r="U70" s="169"/>
      <c r="V70" s="169"/>
      <c r="W70" s="169"/>
      <c r="X70" s="169"/>
      <c r="Y70" s="169"/>
      <c r="Z70" s="171"/>
      <c r="AA70" s="171"/>
      <c r="AB70" s="171"/>
      <c r="AC70" s="171"/>
      <c r="AD70" s="171"/>
      <c r="AE70" s="171"/>
      <c r="AF70" s="171"/>
      <c r="AG70" s="171" t="s">
        <v>148</v>
      </c>
      <c r="AH70" s="171">
        <v>0</v>
      </c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</row>
    <row r="71" spans="1:60" outlineLevel="3" x14ac:dyDescent="0.2">
      <c r="A71" s="172"/>
      <c r="B71" s="173"/>
      <c r="C71" s="174" t="s">
        <v>191</v>
      </c>
      <c r="D71" s="175"/>
      <c r="E71" s="176">
        <v>4.9617000000000004</v>
      </c>
      <c r="F71" s="196"/>
      <c r="G71" s="169"/>
      <c r="H71" s="169"/>
      <c r="I71" s="169"/>
      <c r="J71" s="169"/>
      <c r="K71" s="169"/>
      <c r="L71" s="169"/>
      <c r="M71" s="169"/>
      <c r="N71" s="170"/>
      <c r="O71" s="170"/>
      <c r="P71" s="170"/>
      <c r="Q71" s="170"/>
      <c r="R71" s="169"/>
      <c r="S71" s="169"/>
      <c r="T71" s="169"/>
      <c r="U71" s="169"/>
      <c r="V71" s="169"/>
      <c r="W71" s="169"/>
      <c r="X71" s="169"/>
      <c r="Y71" s="169"/>
      <c r="Z71" s="171"/>
      <c r="AA71" s="171"/>
      <c r="AB71" s="171"/>
      <c r="AC71" s="171"/>
      <c r="AD71" s="171"/>
      <c r="AE71" s="171"/>
      <c r="AF71" s="171"/>
      <c r="AG71" s="171" t="s">
        <v>148</v>
      </c>
      <c r="AH71" s="171">
        <v>0</v>
      </c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</row>
    <row r="72" spans="1:60" outlineLevel="3" x14ac:dyDescent="0.2">
      <c r="A72" s="172"/>
      <c r="B72" s="173"/>
      <c r="C72" s="174" t="s">
        <v>192</v>
      </c>
      <c r="D72" s="175"/>
      <c r="E72" s="176">
        <v>4.6475</v>
      </c>
      <c r="F72" s="196"/>
      <c r="G72" s="169"/>
      <c r="H72" s="169"/>
      <c r="I72" s="169"/>
      <c r="J72" s="169"/>
      <c r="K72" s="169"/>
      <c r="L72" s="169"/>
      <c r="M72" s="169"/>
      <c r="N72" s="170"/>
      <c r="O72" s="170"/>
      <c r="P72" s="170"/>
      <c r="Q72" s="170"/>
      <c r="R72" s="169"/>
      <c r="S72" s="169"/>
      <c r="T72" s="169"/>
      <c r="U72" s="169"/>
      <c r="V72" s="169"/>
      <c r="W72" s="169"/>
      <c r="X72" s="169"/>
      <c r="Y72" s="169"/>
      <c r="Z72" s="171"/>
      <c r="AA72" s="171"/>
      <c r="AB72" s="171"/>
      <c r="AC72" s="171"/>
      <c r="AD72" s="171"/>
      <c r="AE72" s="171"/>
      <c r="AF72" s="171"/>
      <c r="AG72" s="171" t="s">
        <v>148</v>
      </c>
      <c r="AH72" s="171">
        <v>0</v>
      </c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</row>
    <row r="73" spans="1:60" outlineLevel="3" x14ac:dyDescent="0.2">
      <c r="A73" s="172"/>
      <c r="B73" s="173"/>
      <c r="C73" s="174" t="s">
        <v>193</v>
      </c>
      <c r="D73" s="175"/>
      <c r="E73" s="176">
        <v>1.8923000000000001</v>
      </c>
      <c r="F73" s="196"/>
      <c r="G73" s="169"/>
      <c r="H73" s="169"/>
      <c r="I73" s="169"/>
      <c r="J73" s="169"/>
      <c r="K73" s="169"/>
      <c r="L73" s="169"/>
      <c r="M73" s="169"/>
      <c r="N73" s="170"/>
      <c r="O73" s="170"/>
      <c r="P73" s="170"/>
      <c r="Q73" s="170"/>
      <c r="R73" s="169"/>
      <c r="S73" s="169"/>
      <c r="T73" s="169"/>
      <c r="U73" s="169"/>
      <c r="V73" s="169"/>
      <c r="W73" s="169"/>
      <c r="X73" s="169"/>
      <c r="Y73" s="169"/>
      <c r="Z73" s="171"/>
      <c r="AA73" s="171"/>
      <c r="AB73" s="171"/>
      <c r="AC73" s="171"/>
      <c r="AD73" s="171"/>
      <c r="AE73" s="171"/>
      <c r="AF73" s="171"/>
      <c r="AG73" s="171" t="s">
        <v>148</v>
      </c>
      <c r="AH73" s="171">
        <v>0</v>
      </c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</row>
    <row r="74" spans="1:60" outlineLevel="3" x14ac:dyDescent="0.2">
      <c r="A74" s="172"/>
      <c r="B74" s="173"/>
      <c r="C74" s="174" t="s">
        <v>194</v>
      </c>
      <c r="D74" s="175"/>
      <c r="E74" s="176">
        <v>6.0125000000000002</v>
      </c>
      <c r="F74" s="196"/>
      <c r="G74" s="169"/>
      <c r="H74" s="169"/>
      <c r="I74" s="169"/>
      <c r="J74" s="169"/>
      <c r="K74" s="169"/>
      <c r="L74" s="169"/>
      <c r="M74" s="169"/>
      <c r="N74" s="170"/>
      <c r="O74" s="170"/>
      <c r="P74" s="170"/>
      <c r="Q74" s="170"/>
      <c r="R74" s="169"/>
      <c r="S74" s="169"/>
      <c r="T74" s="169"/>
      <c r="U74" s="169"/>
      <c r="V74" s="169"/>
      <c r="W74" s="169"/>
      <c r="X74" s="169"/>
      <c r="Y74" s="169"/>
      <c r="Z74" s="171"/>
      <c r="AA74" s="171"/>
      <c r="AB74" s="171"/>
      <c r="AC74" s="171"/>
      <c r="AD74" s="171"/>
      <c r="AE74" s="171"/>
      <c r="AF74" s="171"/>
      <c r="AG74" s="171" t="s">
        <v>148</v>
      </c>
      <c r="AH74" s="171">
        <v>0</v>
      </c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</row>
    <row r="75" spans="1:60" outlineLevel="3" x14ac:dyDescent="0.2">
      <c r="A75" s="172"/>
      <c r="B75" s="173"/>
      <c r="C75" s="174" t="s">
        <v>195</v>
      </c>
      <c r="D75" s="175"/>
      <c r="E75" s="176">
        <v>4.7382</v>
      </c>
      <c r="F75" s="196"/>
      <c r="G75" s="169"/>
      <c r="H75" s="169"/>
      <c r="I75" s="169"/>
      <c r="J75" s="169"/>
      <c r="K75" s="169"/>
      <c r="L75" s="169"/>
      <c r="M75" s="169"/>
      <c r="N75" s="170"/>
      <c r="O75" s="170"/>
      <c r="P75" s="170"/>
      <c r="Q75" s="170"/>
      <c r="R75" s="169"/>
      <c r="S75" s="169"/>
      <c r="T75" s="169"/>
      <c r="U75" s="169"/>
      <c r="V75" s="169"/>
      <c r="W75" s="169"/>
      <c r="X75" s="169"/>
      <c r="Y75" s="169"/>
      <c r="Z75" s="171"/>
      <c r="AA75" s="171"/>
      <c r="AB75" s="171"/>
      <c r="AC75" s="171"/>
      <c r="AD75" s="171"/>
      <c r="AE75" s="171"/>
      <c r="AF75" s="171"/>
      <c r="AG75" s="171" t="s">
        <v>148</v>
      </c>
      <c r="AH75" s="171">
        <v>0</v>
      </c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</row>
    <row r="76" spans="1:60" outlineLevel="3" x14ac:dyDescent="0.2">
      <c r="A76" s="172"/>
      <c r="B76" s="173"/>
      <c r="C76" s="174" t="s">
        <v>196</v>
      </c>
      <c r="D76" s="175"/>
      <c r="E76" s="176">
        <v>10.5625</v>
      </c>
      <c r="F76" s="196"/>
      <c r="G76" s="169"/>
      <c r="H76" s="169"/>
      <c r="I76" s="169"/>
      <c r="J76" s="169"/>
      <c r="K76" s="169"/>
      <c r="L76" s="169"/>
      <c r="M76" s="169"/>
      <c r="N76" s="170"/>
      <c r="O76" s="170"/>
      <c r="P76" s="170"/>
      <c r="Q76" s="170"/>
      <c r="R76" s="169"/>
      <c r="S76" s="169"/>
      <c r="T76" s="169"/>
      <c r="U76" s="169"/>
      <c r="V76" s="169"/>
      <c r="W76" s="169"/>
      <c r="X76" s="169"/>
      <c r="Y76" s="169"/>
      <c r="Z76" s="171"/>
      <c r="AA76" s="171"/>
      <c r="AB76" s="171"/>
      <c r="AC76" s="171"/>
      <c r="AD76" s="171"/>
      <c r="AE76" s="171"/>
      <c r="AF76" s="171"/>
      <c r="AG76" s="171" t="s">
        <v>148</v>
      </c>
      <c r="AH76" s="171">
        <v>0</v>
      </c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</row>
    <row r="77" spans="1:60" outlineLevel="3" x14ac:dyDescent="0.2">
      <c r="A77" s="172"/>
      <c r="B77" s="173"/>
      <c r="C77" s="174" t="s">
        <v>197</v>
      </c>
      <c r="D77" s="175"/>
      <c r="E77" s="176"/>
      <c r="F77" s="196"/>
      <c r="G77" s="169"/>
      <c r="H77" s="169"/>
      <c r="I77" s="169"/>
      <c r="J77" s="169"/>
      <c r="K77" s="169"/>
      <c r="L77" s="169"/>
      <c r="M77" s="169"/>
      <c r="N77" s="170"/>
      <c r="O77" s="170"/>
      <c r="P77" s="170"/>
      <c r="Q77" s="170"/>
      <c r="R77" s="169"/>
      <c r="S77" s="169"/>
      <c r="T77" s="169"/>
      <c r="U77" s="169"/>
      <c r="V77" s="169"/>
      <c r="W77" s="169"/>
      <c r="X77" s="169"/>
      <c r="Y77" s="169"/>
      <c r="Z77" s="171"/>
      <c r="AA77" s="171"/>
      <c r="AB77" s="171"/>
      <c r="AC77" s="171"/>
      <c r="AD77" s="171"/>
      <c r="AE77" s="171"/>
      <c r="AF77" s="171"/>
      <c r="AG77" s="171" t="s">
        <v>148</v>
      </c>
      <c r="AH77" s="171">
        <v>0</v>
      </c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</row>
    <row r="78" spans="1:60" outlineLevel="3" x14ac:dyDescent="0.2">
      <c r="A78" s="172"/>
      <c r="B78" s="173"/>
      <c r="C78" s="174" t="s">
        <v>149</v>
      </c>
      <c r="D78" s="175"/>
      <c r="E78" s="176"/>
      <c r="F78" s="196"/>
      <c r="G78" s="169"/>
      <c r="H78" s="169"/>
      <c r="I78" s="169"/>
      <c r="J78" s="169"/>
      <c r="K78" s="169"/>
      <c r="L78" s="169"/>
      <c r="M78" s="169"/>
      <c r="N78" s="170"/>
      <c r="O78" s="170"/>
      <c r="P78" s="170"/>
      <c r="Q78" s="170"/>
      <c r="R78" s="169"/>
      <c r="S78" s="169"/>
      <c r="T78" s="169"/>
      <c r="U78" s="169"/>
      <c r="V78" s="169"/>
      <c r="W78" s="169"/>
      <c r="X78" s="169"/>
      <c r="Y78" s="169"/>
      <c r="Z78" s="171"/>
      <c r="AA78" s="171"/>
      <c r="AB78" s="171"/>
      <c r="AC78" s="171"/>
      <c r="AD78" s="171"/>
      <c r="AE78" s="171"/>
      <c r="AF78" s="171"/>
      <c r="AG78" s="171" t="s">
        <v>148</v>
      </c>
      <c r="AH78" s="171">
        <v>0</v>
      </c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</row>
    <row r="79" spans="1:60" outlineLevel="3" x14ac:dyDescent="0.2">
      <c r="A79" s="172"/>
      <c r="B79" s="173"/>
      <c r="C79" s="174" t="s">
        <v>198</v>
      </c>
      <c r="D79" s="175"/>
      <c r="E79" s="176">
        <v>1.9824999999999999</v>
      </c>
      <c r="F79" s="196"/>
      <c r="G79" s="169"/>
      <c r="H79" s="169"/>
      <c r="I79" s="169"/>
      <c r="J79" s="169"/>
      <c r="K79" s="169"/>
      <c r="L79" s="169"/>
      <c r="M79" s="169"/>
      <c r="N79" s="170"/>
      <c r="O79" s="170"/>
      <c r="P79" s="170"/>
      <c r="Q79" s="170"/>
      <c r="R79" s="169"/>
      <c r="S79" s="169"/>
      <c r="T79" s="169"/>
      <c r="U79" s="169"/>
      <c r="V79" s="169"/>
      <c r="W79" s="169"/>
      <c r="X79" s="169"/>
      <c r="Y79" s="169"/>
      <c r="Z79" s="171"/>
      <c r="AA79" s="171"/>
      <c r="AB79" s="171"/>
      <c r="AC79" s="171"/>
      <c r="AD79" s="171"/>
      <c r="AE79" s="171"/>
      <c r="AF79" s="171"/>
      <c r="AG79" s="171" t="s">
        <v>148</v>
      </c>
      <c r="AH79" s="171">
        <v>0</v>
      </c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</row>
    <row r="80" spans="1:60" outlineLevel="3" x14ac:dyDescent="0.2">
      <c r="A80" s="172"/>
      <c r="B80" s="173"/>
      <c r="C80" s="174" t="s">
        <v>151</v>
      </c>
      <c r="D80" s="175"/>
      <c r="E80" s="176"/>
      <c r="F80" s="196"/>
      <c r="G80" s="169"/>
      <c r="H80" s="169"/>
      <c r="I80" s="169"/>
      <c r="J80" s="169"/>
      <c r="K80" s="169"/>
      <c r="L80" s="169"/>
      <c r="M80" s="169"/>
      <c r="N80" s="170"/>
      <c r="O80" s="170"/>
      <c r="P80" s="170"/>
      <c r="Q80" s="170"/>
      <c r="R80" s="169"/>
      <c r="S80" s="169"/>
      <c r="T80" s="169"/>
      <c r="U80" s="169"/>
      <c r="V80" s="169"/>
      <c r="W80" s="169"/>
      <c r="X80" s="169"/>
      <c r="Y80" s="169"/>
      <c r="Z80" s="171"/>
      <c r="AA80" s="171"/>
      <c r="AB80" s="171"/>
      <c r="AC80" s="171"/>
      <c r="AD80" s="171"/>
      <c r="AE80" s="171"/>
      <c r="AF80" s="171"/>
      <c r="AG80" s="171" t="s">
        <v>148</v>
      </c>
      <c r="AH80" s="171">
        <v>0</v>
      </c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</row>
    <row r="81" spans="1:60" outlineLevel="3" x14ac:dyDescent="0.2">
      <c r="A81" s="172"/>
      <c r="B81" s="173"/>
      <c r="C81" s="174" t="s">
        <v>199</v>
      </c>
      <c r="D81" s="175"/>
      <c r="E81" s="176">
        <v>1.625</v>
      </c>
      <c r="F81" s="196"/>
      <c r="G81" s="169"/>
      <c r="H81" s="169"/>
      <c r="I81" s="169"/>
      <c r="J81" s="169"/>
      <c r="K81" s="169"/>
      <c r="L81" s="169"/>
      <c r="M81" s="169"/>
      <c r="N81" s="170"/>
      <c r="O81" s="170"/>
      <c r="P81" s="170"/>
      <c r="Q81" s="170"/>
      <c r="R81" s="169"/>
      <c r="S81" s="169"/>
      <c r="T81" s="169"/>
      <c r="U81" s="169"/>
      <c r="V81" s="169"/>
      <c r="W81" s="169"/>
      <c r="X81" s="169"/>
      <c r="Y81" s="169"/>
      <c r="Z81" s="171"/>
      <c r="AA81" s="171"/>
      <c r="AB81" s="171"/>
      <c r="AC81" s="171"/>
      <c r="AD81" s="171"/>
      <c r="AE81" s="171"/>
      <c r="AF81" s="171"/>
      <c r="AG81" s="171" t="s">
        <v>148</v>
      </c>
      <c r="AH81" s="171">
        <v>0</v>
      </c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</row>
    <row r="82" spans="1:60" outlineLevel="3" x14ac:dyDescent="0.2">
      <c r="A82" s="172"/>
      <c r="B82" s="173"/>
      <c r="C82" s="174" t="s">
        <v>200</v>
      </c>
      <c r="D82" s="175"/>
      <c r="E82" s="176">
        <v>1.625</v>
      </c>
      <c r="F82" s="196"/>
      <c r="G82" s="169"/>
      <c r="H82" s="169"/>
      <c r="I82" s="169"/>
      <c r="J82" s="169"/>
      <c r="K82" s="169"/>
      <c r="L82" s="169"/>
      <c r="M82" s="169"/>
      <c r="N82" s="170"/>
      <c r="O82" s="170"/>
      <c r="P82" s="170"/>
      <c r="Q82" s="170"/>
      <c r="R82" s="169"/>
      <c r="S82" s="169"/>
      <c r="T82" s="169"/>
      <c r="U82" s="169"/>
      <c r="V82" s="169"/>
      <c r="W82" s="169"/>
      <c r="X82" s="169"/>
      <c r="Y82" s="169"/>
      <c r="Z82" s="171"/>
      <c r="AA82" s="171"/>
      <c r="AB82" s="171"/>
      <c r="AC82" s="171"/>
      <c r="AD82" s="171"/>
      <c r="AE82" s="171"/>
      <c r="AF82" s="171"/>
      <c r="AG82" s="171" t="s">
        <v>148</v>
      </c>
      <c r="AH82" s="171">
        <v>0</v>
      </c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</row>
    <row r="83" spans="1:60" outlineLevel="3" x14ac:dyDescent="0.2">
      <c r="A83" s="172"/>
      <c r="B83" s="173"/>
      <c r="C83" s="174" t="s">
        <v>152</v>
      </c>
      <c r="D83" s="175"/>
      <c r="E83" s="176"/>
      <c r="F83" s="196"/>
      <c r="G83" s="169"/>
      <c r="H83" s="169"/>
      <c r="I83" s="169"/>
      <c r="J83" s="169"/>
      <c r="K83" s="169"/>
      <c r="L83" s="169"/>
      <c r="M83" s="169"/>
      <c r="N83" s="170"/>
      <c r="O83" s="170"/>
      <c r="P83" s="170"/>
      <c r="Q83" s="170"/>
      <c r="R83" s="169"/>
      <c r="S83" s="169"/>
      <c r="T83" s="169"/>
      <c r="U83" s="169"/>
      <c r="V83" s="169"/>
      <c r="W83" s="169"/>
      <c r="X83" s="169"/>
      <c r="Y83" s="169"/>
      <c r="Z83" s="171"/>
      <c r="AA83" s="171"/>
      <c r="AB83" s="171"/>
      <c r="AC83" s="171"/>
      <c r="AD83" s="171"/>
      <c r="AE83" s="171"/>
      <c r="AF83" s="171"/>
      <c r="AG83" s="171" t="s">
        <v>148</v>
      </c>
      <c r="AH83" s="171">
        <v>0</v>
      </c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</row>
    <row r="84" spans="1:60" outlineLevel="3" x14ac:dyDescent="0.2">
      <c r="A84" s="172"/>
      <c r="B84" s="173"/>
      <c r="C84" s="174" t="s">
        <v>201</v>
      </c>
      <c r="D84" s="175"/>
      <c r="E84" s="176">
        <v>1.3</v>
      </c>
      <c r="F84" s="196"/>
      <c r="G84" s="169"/>
      <c r="H84" s="169"/>
      <c r="I84" s="169"/>
      <c r="J84" s="169"/>
      <c r="K84" s="169"/>
      <c r="L84" s="169"/>
      <c r="M84" s="169"/>
      <c r="N84" s="170"/>
      <c r="O84" s="170"/>
      <c r="P84" s="170"/>
      <c r="Q84" s="170"/>
      <c r="R84" s="169"/>
      <c r="S84" s="169"/>
      <c r="T84" s="169"/>
      <c r="U84" s="169"/>
      <c r="V84" s="169"/>
      <c r="W84" s="169"/>
      <c r="X84" s="169"/>
      <c r="Y84" s="169"/>
      <c r="Z84" s="171"/>
      <c r="AA84" s="171"/>
      <c r="AB84" s="171"/>
      <c r="AC84" s="171"/>
      <c r="AD84" s="171"/>
      <c r="AE84" s="171"/>
      <c r="AF84" s="171"/>
      <c r="AG84" s="171" t="s">
        <v>148</v>
      </c>
      <c r="AH84" s="171">
        <v>0</v>
      </c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</row>
    <row r="85" spans="1:60" outlineLevel="3" x14ac:dyDescent="0.2">
      <c r="A85" s="172"/>
      <c r="B85" s="173"/>
      <c r="C85" s="174" t="s">
        <v>202</v>
      </c>
      <c r="D85" s="175"/>
      <c r="E85" s="176">
        <v>2.145</v>
      </c>
      <c r="F85" s="196"/>
      <c r="G85" s="169"/>
      <c r="H85" s="169"/>
      <c r="I85" s="169"/>
      <c r="J85" s="169"/>
      <c r="K85" s="169"/>
      <c r="L85" s="169"/>
      <c r="M85" s="169"/>
      <c r="N85" s="170"/>
      <c r="O85" s="170"/>
      <c r="P85" s="170"/>
      <c r="Q85" s="170"/>
      <c r="R85" s="169"/>
      <c r="S85" s="169"/>
      <c r="T85" s="169"/>
      <c r="U85" s="169"/>
      <c r="V85" s="169"/>
      <c r="W85" s="169"/>
      <c r="X85" s="169"/>
      <c r="Y85" s="169"/>
      <c r="Z85" s="171"/>
      <c r="AA85" s="171"/>
      <c r="AB85" s="171"/>
      <c r="AC85" s="171"/>
      <c r="AD85" s="171"/>
      <c r="AE85" s="171"/>
      <c r="AF85" s="171"/>
      <c r="AG85" s="171" t="s">
        <v>148</v>
      </c>
      <c r="AH85" s="171">
        <v>0</v>
      </c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</row>
    <row r="86" spans="1:60" ht="22.5" outlineLevel="1" x14ac:dyDescent="0.2">
      <c r="A86" s="162">
        <v>7</v>
      </c>
      <c r="B86" s="163" t="s">
        <v>203</v>
      </c>
      <c r="C86" s="164" t="s">
        <v>204</v>
      </c>
      <c r="D86" s="165" t="s">
        <v>159</v>
      </c>
      <c r="E86" s="166">
        <v>18.829999999999998</v>
      </c>
      <c r="F86" s="140"/>
      <c r="G86" s="167">
        <f>ROUND(E86*F86,2)</f>
        <v>0</v>
      </c>
      <c r="H86" s="168"/>
      <c r="I86" s="169">
        <f>ROUND(E86*H86,2)</f>
        <v>0</v>
      </c>
      <c r="J86" s="168"/>
      <c r="K86" s="169">
        <f>ROUND(E86*J86,2)</f>
        <v>0</v>
      </c>
      <c r="L86" s="169">
        <v>21</v>
      </c>
      <c r="M86" s="169">
        <f>G86*(1+L86/100)</f>
        <v>0</v>
      </c>
      <c r="N86" s="170">
        <v>1.2149999999999999E-2</v>
      </c>
      <c r="O86" s="170">
        <f>ROUND(E86*N86,2)</f>
        <v>0.23</v>
      </c>
      <c r="P86" s="170">
        <v>0</v>
      </c>
      <c r="Q86" s="170">
        <f>ROUND(E86*P86,2)</f>
        <v>0</v>
      </c>
      <c r="R86" s="169"/>
      <c r="S86" s="169" t="s">
        <v>143</v>
      </c>
      <c r="T86" s="169" t="s">
        <v>143</v>
      </c>
      <c r="U86" s="169">
        <v>1.0109999999999999</v>
      </c>
      <c r="V86" s="169">
        <f>ROUND(E86*U86,2)</f>
        <v>19.04</v>
      </c>
      <c r="W86" s="169"/>
      <c r="X86" s="169" t="s">
        <v>144</v>
      </c>
      <c r="Y86" s="169" t="s">
        <v>145</v>
      </c>
      <c r="Z86" s="171"/>
      <c r="AA86" s="171"/>
      <c r="AB86" s="171"/>
      <c r="AC86" s="171"/>
      <c r="AD86" s="171"/>
      <c r="AE86" s="171"/>
      <c r="AF86" s="171"/>
      <c r="AG86" s="171" t="s">
        <v>146</v>
      </c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</row>
    <row r="87" spans="1:60" outlineLevel="2" x14ac:dyDescent="0.2">
      <c r="A87" s="172"/>
      <c r="B87" s="173"/>
      <c r="C87" s="174" t="s">
        <v>149</v>
      </c>
      <c r="D87" s="175"/>
      <c r="E87" s="176"/>
      <c r="F87" s="196"/>
      <c r="G87" s="169"/>
      <c r="H87" s="169"/>
      <c r="I87" s="169"/>
      <c r="J87" s="169"/>
      <c r="K87" s="169"/>
      <c r="L87" s="169"/>
      <c r="M87" s="169"/>
      <c r="N87" s="170"/>
      <c r="O87" s="170"/>
      <c r="P87" s="170"/>
      <c r="Q87" s="170"/>
      <c r="R87" s="169"/>
      <c r="S87" s="169"/>
      <c r="T87" s="169"/>
      <c r="U87" s="169"/>
      <c r="V87" s="169"/>
      <c r="W87" s="169"/>
      <c r="X87" s="169"/>
      <c r="Y87" s="169"/>
      <c r="Z87" s="171"/>
      <c r="AA87" s="171"/>
      <c r="AB87" s="171"/>
      <c r="AC87" s="171"/>
      <c r="AD87" s="171"/>
      <c r="AE87" s="171"/>
      <c r="AF87" s="171"/>
      <c r="AG87" s="171" t="s">
        <v>148</v>
      </c>
      <c r="AH87" s="171">
        <v>0</v>
      </c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</row>
    <row r="88" spans="1:60" outlineLevel="3" x14ac:dyDescent="0.2">
      <c r="A88" s="172"/>
      <c r="B88" s="173"/>
      <c r="C88" s="174" t="s">
        <v>205</v>
      </c>
      <c r="D88" s="175"/>
      <c r="E88" s="176">
        <v>6.29</v>
      </c>
      <c r="F88" s="196"/>
      <c r="G88" s="169"/>
      <c r="H88" s="169"/>
      <c r="I88" s="169"/>
      <c r="J88" s="169"/>
      <c r="K88" s="169"/>
      <c r="L88" s="169"/>
      <c r="M88" s="169"/>
      <c r="N88" s="170"/>
      <c r="O88" s="170"/>
      <c r="P88" s="170"/>
      <c r="Q88" s="170"/>
      <c r="R88" s="169"/>
      <c r="S88" s="169"/>
      <c r="T88" s="169"/>
      <c r="U88" s="169"/>
      <c r="V88" s="169"/>
      <c r="W88" s="169"/>
      <c r="X88" s="169"/>
      <c r="Y88" s="169"/>
      <c r="Z88" s="171"/>
      <c r="AA88" s="171"/>
      <c r="AB88" s="171"/>
      <c r="AC88" s="171"/>
      <c r="AD88" s="171"/>
      <c r="AE88" s="171"/>
      <c r="AF88" s="171"/>
      <c r="AG88" s="171" t="s">
        <v>148</v>
      </c>
      <c r="AH88" s="171">
        <v>0</v>
      </c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</row>
    <row r="89" spans="1:60" outlineLevel="3" x14ac:dyDescent="0.2">
      <c r="A89" s="172"/>
      <c r="B89" s="173"/>
      <c r="C89" s="174" t="s">
        <v>151</v>
      </c>
      <c r="D89" s="175"/>
      <c r="E89" s="176"/>
      <c r="F89" s="196"/>
      <c r="G89" s="169"/>
      <c r="H89" s="169"/>
      <c r="I89" s="169"/>
      <c r="J89" s="169"/>
      <c r="K89" s="169"/>
      <c r="L89" s="169"/>
      <c r="M89" s="169"/>
      <c r="N89" s="170"/>
      <c r="O89" s="170"/>
      <c r="P89" s="170"/>
      <c r="Q89" s="170"/>
      <c r="R89" s="169"/>
      <c r="S89" s="169"/>
      <c r="T89" s="169"/>
      <c r="U89" s="169"/>
      <c r="V89" s="169"/>
      <c r="W89" s="169"/>
      <c r="X89" s="169"/>
      <c r="Y89" s="169"/>
      <c r="Z89" s="171"/>
      <c r="AA89" s="171"/>
      <c r="AB89" s="171"/>
      <c r="AC89" s="171"/>
      <c r="AD89" s="171"/>
      <c r="AE89" s="171"/>
      <c r="AF89" s="171"/>
      <c r="AG89" s="171" t="s">
        <v>148</v>
      </c>
      <c r="AH89" s="171">
        <v>0</v>
      </c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</row>
    <row r="90" spans="1:60" outlineLevel="3" x14ac:dyDescent="0.2">
      <c r="A90" s="172"/>
      <c r="B90" s="173"/>
      <c r="C90" s="174" t="s">
        <v>206</v>
      </c>
      <c r="D90" s="175"/>
      <c r="E90" s="176">
        <v>6.15</v>
      </c>
      <c r="F90" s="196"/>
      <c r="G90" s="169"/>
      <c r="H90" s="169"/>
      <c r="I90" s="169"/>
      <c r="J90" s="169"/>
      <c r="K90" s="169"/>
      <c r="L90" s="169"/>
      <c r="M90" s="169"/>
      <c r="N90" s="170"/>
      <c r="O90" s="170"/>
      <c r="P90" s="170"/>
      <c r="Q90" s="170"/>
      <c r="R90" s="169"/>
      <c r="S90" s="169"/>
      <c r="T90" s="169"/>
      <c r="U90" s="169"/>
      <c r="V90" s="169"/>
      <c r="W90" s="169"/>
      <c r="X90" s="169"/>
      <c r="Y90" s="169"/>
      <c r="Z90" s="171"/>
      <c r="AA90" s="171"/>
      <c r="AB90" s="171"/>
      <c r="AC90" s="171"/>
      <c r="AD90" s="171"/>
      <c r="AE90" s="171"/>
      <c r="AF90" s="171"/>
      <c r="AG90" s="171" t="s">
        <v>148</v>
      </c>
      <c r="AH90" s="171">
        <v>0</v>
      </c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</row>
    <row r="91" spans="1:60" outlineLevel="3" x14ac:dyDescent="0.2">
      <c r="A91" s="172"/>
      <c r="B91" s="173"/>
      <c r="C91" s="174" t="s">
        <v>152</v>
      </c>
      <c r="D91" s="175"/>
      <c r="E91" s="176"/>
      <c r="F91" s="196"/>
      <c r="G91" s="169"/>
      <c r="H91" s="169"/>
      <c r="I91" s="169"/>
      <c r="J91" s="169"/>
      <c r="K91" s="169"/>
      <c r="L91" s="169"/>
      <c r="M91" s="169"/>
      <c r="N91" s="170"/>
      <c r="O91" s="170"/>
      <c r="P91" s="170"/>
      <c r="Q91" s="170"/>
      <c r="R91" s="169"/>
      <c r="S91" s="169"/>
      <c r="T91" s="169"/>
      <c r="U91" s="169"/>
      <c r="V91" s="169"/>
      <c r="W91" s="169"/>
      <c r="X91" s="169"/>
      <c r="Y91" s="169"/>
      <c r="Z91" s="171"/>
      <c r="AA91" s="171"/>
      <c r="AB91" s="171"/>
      <c r="AC91" s="171"/>
      <c r="AD91" s="171"/>
      <c r="AE91" s="171"/>
      <c r="AF91" s="171"/>
      <c r="AG91" s="171" t="s">
        <v>148</v>
      </c>
      <c r="AH91" s="171">
        <v>0</v>
      </c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</row>
    <row r="92" spans="1:60" outlineLevel="3" x14ac:dyDescent="0.2">
      <c r="A92" s="172"/>
      <c r="B92" s="173"/>
      <c r="C92" s="174" t="s">
        <v>207</v>
      </c>
      <c r="D92" s="175"/>
      <c r="E92" s="176">
        <v>6.39</v>
      </c>
      <c r="F92" s="196"/>
      <c r="G92" s="169"/>
      <c r="H92" s="169"/>
      <c r="I92" s="169"/>
      <c r="J92" s="169"/>
      <c r="K92" s="169"/>
      <c r="L92" s="169"/>
      <c r="M92" s="169"/>
      <c r="N92" s="170"/>
      <c r="O92" s="170"/>
      <c r="P92" s="170"/>
      <c r="Q92" s="170"/>
      <c r="R92" s="169"/>
      <c r="S92" s="169"/>
      <c r="T92" s="169"/>
      <c r="U92" s="169"/>
      <c r="V92" s="169"/>
      <c r="W92" s="169"/>
      <c r="X92" s="169"/>
      <c r="Y92" s="169"/>
      <c r="Z92" s="171"/>
      <c r="AA92" s="171"/>
      <c r="AB92" s="171"/>
      <c r="AC92" s="171"/>
      <c r="AD92" s="171"/>
      <c r="AE92" s="171"/>
      <c r="AF92" s="171"/>
      <c r="AG92" s="171" t="s">
        <v>148</v>
      </c>
      <c r="AH92" s="171">
        <v>0</v>
      </c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</row>
    <row r="93" spans="1:60" outlineLevel="1" x14ac:dyDescent="0.2">
      <c r="A93" s="177">
        <v>8</v>
      </c>
      <c r="B93" s="178" t="s">
        <v>208</v>
      </c>
      <c r="C93" s="179" t="s">
        <v>209</v>
      </c>
      <c r="D93" s="180" t="s">
        <v>159</v>
      </c>
      <c r="E93" s="181">
        <v>18.829999999999998</v>
      </c>
      <c r="F93" s="141"/>
      <c r="G93" s="182">
        <f>ROUND(E93*F93,2)</f>
        <v>0</v>
      </c>
      <c r="H93" s="168"/>
      <c r="I93" s="169">
        <f>ROUND(E93*H93,2)</f>
        <v>0</v>
      </c>
      <c r="J93" s="168"/>
      <c r="K93" s="169">
        <f>ROUND(E93*J93,2)</f>
        <v>0</v>
      </c>
      <c r="L93" s="169">
        <v>21</v>
      </c>
      <c r="M93" s="169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69"/>
      <c r="S93" s="169" t="s">
        <v>143</v>
      </c>
      <c r="T93" s="169" t="s">
        <v>143</v>
      </c>
      <c r="U93" s="169">
        <v>0.57999999999999996</v>
      </c>
      <c r="V93" s="169">
        <f>ROUND(E93*U93,2)</f>
        <v>10.92</v>
      </c>
      <c r="W93" s="169"/>
      <c r="X93" s="169" t="s">
        <v>144</v>
      </c>
      <c r="Y93" s="169" t="s">
        <v>145</v>
      </c>
      <c r="Z93" s="171"/>
      <c r="AA93" s="171"/>
      <c r="AB93" s="171"/>
      <c r="AC93" s="171"/>
      <c r="AD93" s="171"/>
      <c r="AE93" s="171"/>
      <c r="AF93" s="171"/>
      <c r="AG93" s="171" t="s">
        <v>146</v>
      </c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</row>
    <row r="94" spans="1:60" outlineLevel="1" x14ac:dyDescent="0.2">
      <c r="A94" s="162">
        <v>9</v>
      </c>
      <c r="B94" s="163" t="s">
        <v>210</v>
      </c>
      <c r="C94" s="164" t="s">
        <v>211</v>
      </c>
      <c r="D94" s="165" t="s">
        <v>212</v>
      </c>
      <c r="E94" s="166">
        <v>10.34</v>
      </c>
      <c r="F94" s="140"/>
      <c r="G94" s="167">
        <f>ROUND(E94*F94,2)</f>
        <v>0</v>
      </c>
      <c r="H94" s="168"/>
      <c r="I94" s="169">
        <f>ROUND(E94*H94,2)</f>
        <v>0</v>
      </c>
      <c r="J94" s="168"/>
      <c r="K94" s="169">
        <f>ROUND(E94*J94,2)</f>
        <v>0</v>
      </c>
      <c r="L94" s="169">
        <v>21</v>
      </c>
      <c r="M94" s="169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69"/>
      <c r="S94" s="169" t="s">
        <v>213</v>
      </c>
      <c r="T94" s="169" t="s">
        <v>214</v>
      </c>
      <c r="U94" s="169">
        <v>0</v>
      </c>
      <c r="V94" s="169">
        <f>ROUND(E94*U94,2)</f>
        <v>0</v>
      </c>
      <c r="W94" s="169"/>
      <c r="X94" s="169" t="s">
        <v>144</v>
      </c>
      <c r="Y94" s="169" t="s">
        <v>145</v>
      </c>
      <c r="Z94" s="171"/>
      <c r="AA94" s="171"/>
      <c r="AB94" s="171"/>
      <c r="AC94" s="171"/>
      <c r="AD94" s="171"/>
      <c r="AE94" s="171"/>
      <c r="AF94" s="171"/>
      <c r="AG94" s="171" t="s">
        <v>146</v>
      </c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</row>
    <row r="95" spans="1:60" outlineLevel="2" x14ac:dyDescent="0.2">
      <c r="A95" s="172"/>
      <c r="B95" s="173"/>
      <c r="C95" s="174" t="s">
        <v>149</v>
      </c>
      <c r="D95" s="175"/>
      <c r="E95" s="176"/>
      <c r="F95" s="196"/>
      <c r="G95" s="169"/>
      <c r="H95" s="169"/>
      <c r="I95" s="169"/>
      <c r="J95" s="169"/>
      <c r="K95" s="169"/>
      <c r="L95" s="169"/>
      <c r="M95" s="169"/>
      <c r="N95" s="170"/>
      <c r="O95" s="170"/>
      <c r="P95" s="170"/>
      <c r="Q95" s="170"/>
      <c r="R95" s="169"/>
      <c r="S95" s="169"/>
      <c r="T95" s="169"/>
      <c r="U95" s="169"/>
      <c r="V95" s="169"/>
      <c r="W95" s="169"/>
      <c r="X95" s="169"/>
      <c r="Y95" s="169"/>
      <c r="Z95" s="171"/>
      <c r="AA95" s="171"/>
      <c r="AB95" s="171"/>
      <c r="AC95" s="171"/>
      <c r="AD95" s="171"/>
      <c r="AE95" s="171"/>
      <c r="AF95" s="171"/>
      <c r="AG95" s="171" t="s">
        <v>148</v>
      </c>
      <c r="AH95" s="171">
        <v>0</v>
      </c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</row>
    <row r="96" spans="1:60" outlineLevel="3" x14ac:dyDescent="0.2">
      <c r="A96" s="172"/>
      <c r="B96" s="173"/>
      <c r="C96" s="174" t="s">
        <v>215</v>
      </c>
      <c r="D96" s="175"/>
      <c r="E96" s="176">
        <v>3.62</v>
      </c>
      <c r="F96" s="196"/>
      <c r="G96" s="169"/>
      <c r="H96" s="169"/>
      <c r="I96" s="169"/>
      <c r="J96" s="169"/>
      <c r="K96" s="169"/>
      <c r="L96" s="169"/>
      <c r="M96" s="169"/>
      <c r="N96" s="170"/>
      <c r="O96" s="170"/>
      <c r="P96" s="170"/>
      <c r="Q96" s="170"/>
      <c r="R96" s="169"/>
      <c r="S96" s="169"/>
      <c r="T96" s="169"/>
      <c r="U96" s="169"/>
      <c r="V96" s="169"/>
      <c r="W96" s="169"/>
      <c r="X96" s="169"/>
      <c r="Y96" s="169"/>
      <c r="Z96" s="171"/>
      <c r="AA96" s="171"/>
      <c r="AB96" s="171"/>
      <c r="AC96" s="171"/>
      <c r="AD96" s="171"/>
      <c r="AE96" s="171"/>
      <c r="AF96" s="171"/>
      <c r="AG96" s="171" t="s">
        <v>148</v>
      </c>
      <c r="AH96" s="171">
        <v>0</v>
      </c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</row>
    <row r="97" spans="1:60" outlineLevel="3" x14ac:dyDescent="0.2">
      <c r="A97" s="172"/>
      <c r="B97" s="173"/>
      <c r="C97" s="174" t="s">
        <v>151</v>
      </c>
      <c r="D97" s="175"/>
      <c r="E97" s="176"/>
      <c r="F97" s="196"/>
      <c r="G97" s="169"/>
      <c r="H97" s="169"/>
      <c r="I97" s="169"/>
      <c r="J97" s="169"/>
      <c r="K97" s="169"/>
      <c r="L97" s="169"/>
      <c r="M97" s="169"/>
      <c r="N97" s="170"/>
      <c r="O97" s="170"/>
      <c r="P97" s="170"/>
      <c r="Q97" s="170"/>
      <c r="R97" s="169"/>
      <c r="S97" s="169"/>
      <c r="T97" s="169"/>
      <c r="U97" s="169"/>
      <c r="V97" s="169"/>
      <c r="W97" s="169"/>
      <c r="X97" s="169"/>
      <c r="Y97" s="169"/>
      <c r="Z97" s="171"/>
      <c r="AA97" s="171"/>
      <c r="AB97" s="171"/>
      <c r="AC97" s="171"/>
      <c r="AD97" s="171"/>
      <c r="AE97" s="171"/>
      <c r="AF97" s="171"/>
      <c r="AG97" s="171" t="s">
        <v>148</v>
      </c>
      <c r="AH97" s="171">
        <v>0</v>
      </c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</row>
    <row r="98" spans="1:60" outlineLevel="3" x14ac:dyDescent="0.2">
      <c r="A98" s="172"/>
      <c r="B98" s="173"/>
      <c r="C98" s="174" t="s">
        <v>216</v>
      </c>
      <c r="D98" s="175"/>
      <c r="E98" s="176">
        <v>3.34</v>
      </c>
      <c r="F98" s="196"/>
      <c r="G98" s="169"/>
      <c r="H98" s="169"/>
      <c r="I98" s="169"/>
      <c r="J98" s="169"/>
      <c r="K98" s="169"/>
      <c r="L98" s="169"/>
      <c r="M98" s="169"/>
      <c r="N98" s="170"/>
      <c r="O98" s="170"/>
      <c r="P98" s="170"/>
      <c r="Q98" s="170"/>
      <c r="R98" s="169"/>
      <c r="S98" s="169"/>
      <c r="T98" s="169"/>
      <c r="U98" s="169"/>
      <c r="V98" s="169"/>
      <c r="W98" s="169"/>
      <c r="X98" s="169"/>
      <c r="Y98" s="169"/>
      <c r="Z98" s="171"/>
      <c r="AA98" s="171"/>
      <c r="AB98" s="171"/>
      <c r="AC98" s="171"/>
      <c r="AD98" s="171"/>
      <c r="AE98" s="171"/>
      <c r="AF98" s="171"/>
      <c r="AG98" s="171" t="s">
        <v>148</v>
      </c>
      <c r="AH98" s="171">
        <v>0</v>
      </c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</row>
    <row r="99" spans="1:60" outlineLevel="3" x14ac:dyDescent="0.2">
      <c r="A99" s="172"/>
      <c r="B99" s="173"/>
      <c r="C99" s="174" t="s">
        <v>152</v>
      </c>
      <c r="D99" s="175"/>
      <c r="E99" s="176"/>
      <c r="F99" s="196"/>
      <c r="G99" s="169"/>
      <c r="H99" s="169"/>
      <c r="I99" s="169"/>
      <c r="J99" s="169"/>
      <c r="K99" s="169"/>
      <c r="L99" s="169"/>
      <c r="M99" s="169"/>
      <c r="N99" s="170"/>
      <c r="O99" s="170"/>
      <c r="P99" s="170"/>
      <c r="Q99" s="170"/>
      <c r="R99" s="169"/>
      <c r="S99" s="169"/>
      <c r="T99" s="169"/>
      <c r="U99" s="169"/>
      <c r="V99" s="169"/>
      <c r="W99" s="169"/>
      <c r="X99" s="169"/>
      <c r="Y99" s="169"/>
      <c r="Z99" s="171"/>
      <c r="AA99" s="171"/>
      <c r="AB99" s="171"/>
      <c r="AC99" s="171"/>
      <c r="AD99" s="171"/>
      <c r="AE99" s="171"/>
      <c r="AF99" s="171"/>
      <c r="AG99" s="171" t="s">
        <v>148</v>
      </c>
      <c r="AH99" s="171">
        <v>0</v>
      </c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</row>
    <row r="100" spans="1:60" outlineLevel="3" x14ac:dyDescent="0.2">
      <c r="A100" s="172"/>
      <c r="B100" s="173"/>
      <c r="C100" s="174" t="s">
        <v>217</v>
      </c>
      <c r="D100" s="175"/>
      <c r="E100" s="176">
        <v>3.38</v>
      </c>
      <c r="F100" s="196"/>
      <c r="G100" s="169"/>
      <c r="H100" s="169"/>
      <c r="I100" s="169"/>
      <c r="J100" s="169"/>
      <c r="K100" s="169"/>
      <c r="L100" s="169"/>
      <c r="M100" s="169"/>
      <c r="N100" s="170"/>
      <c r="O100" s="170"/>
      <c r="P100" s="170"/>
      <c r="Q100" s="170"/>
      <c r="R100" s="169"/>
      <c r="S100" s="169"/>
      <c r="T100" s="169"/>
      <c r="U100" s="169"/>
      <c r="V100" s="169"/>
      <c r="W100" s="169"/>
      <c r="X100" s="169"/>
      <c r="Y100" s="169"/>
      <c r="Z100" s="171"/>
      <c r="AA100" s="171"/>
      <c r="AB100" s="171"/>
      <c r="AC100" s="171"/>
      <c r="AD100" s="171"/>
      <c r="AE100" s="171"/>
      <c r="AF100" s="171"/>
      <c r="AG100" s="171" t="s">
        <v>148</v>
      </c>
      <c r="AH100" s="171">
        <v>0</v>
      </c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</row>
    <row r="101" spans="1:60" outlineLevel="1" x14ac:dyDescent="0.2">
      <c r="A101" s="162">
        <v>10</v>
      </c>
      <c r="B101" s="163" t="s">
        <v>218</v>
      </c>
      <c r="C101" s="164" t="s">
        <v>219</v>
      </c>
      <c r="D101" s="165" t="s">
        <v>212</v>
      </c>
      <c r="E101" s="166">
        <v>6.37</v>
      </c>
      <c r="F101" s="140"/>
      <c r="G101" s="167">
        <f>ROUND(E101*F101,2)</f>
        <v>0</v>
      </c>
      <c r="H101" s="168"/>
      <c r="I101" s="169">
        <f>ROUND(E101*H101,2)</f>
        <v>0</v>
      </c>
      <c r="J101" s="168"/>
      <c r="K101" s="169">
        <f>ROUND(E101*J101,2)</f>
        <v>0</v>
      </c>
      <c r="L101" s="169">
        <v>21</v>
      </c>
      <c r="M101" s="169">
        <f>G101*(1+L101/100)</f>
        <v>0</v>
      </c>
      <c r="N101" s="170">
        <v>0</v>
      </c>
      <c r="O101" s="170">
        <f>ROUND(E101*N101,2)</f>
        <v>0</v>
      </c>
      <c r="P101" s="170">
        <v>0</v>
      </c>
      <c r="Q101" s="170">
        <f>ROUND(E101*P101,2)</f>
        <v>0</v>
      </c>
      <c r="R101" s="169"/>
      <c r="S101" s="169" t="s">
        <v>213</v>
      </c>
      <c r="T101" s="169" t="s">
        <v>214</v>
      </c>
      <c r="U101" s="169">
        <v>0</v>
      </c>
      <c r="V101" s="169">
        <f>ROUND(E101*U101,2)</f>
        <v>0</v>
      </c>
      <c r="W101" s="169"/>
      <c r="X101" s="169" t="s">
        <v>144</v>
      </c>
      <c r="Y101" s="169" t="s">
        <v>145</v>
      </c>
      <c r="Z101" s="171"/>
      <c r="AA101" s="171"/>
      <c r="AB101" s="171"/>
      <c r="AC101" s="171"/>
      <c r="AD101" s="171"/>
      <c r="AE101" s="171"/>
      <c r="AF101" s="171"/>
      <c r="AG101" s="171" t="s">
        <v>146</v>
      </c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</row>
    <row r="102" spans="1:60" outlineLevel="2" x14ac:dyDescent="0.2">
      <c r="A102" s="172"/>
      <c r="B102" s="173"/>
      <c r="C102" s="174" t="s">
        <v>149</v>
      </c>
      <c r="D102" s="175"/>
      <c r="E102" s="176"/>
      <c r="F102" s="196"/>
      <c r="G102" s="169"/>
      <c r="H102" s="169"/>
      <c r="I102" s="169"/>
      <c r="J102" s="169"/>
      <c r="K102" s="169"/>
      <c r="L102" s="169"/>
      <c r="M102" s="169"/>
      <c r="N102" s="170"/>
      <c r="O102" s="170"/>
      <c r="P102" s="170"/>
      <c r="Q102" s="170"/>
      <c r="R102" s="169"/>
      <c r="S102" s="169"/>
      <c r="T102" s="169"/>
      <c r="U102" s="169"/>
      <c r="V102" s="169"/>
      <c r="W102" s="169"/>
      <c r="X102" s="169"/>
      <c r="Y102" s="169"/>
      <c r="Z102" s="171"/>
      <c r="AA102" s="171"/>
      <c r="AB102" s="171"/>
      <c r="AC102" s="171"/>
      <c r="AD102" s="171"/>
      <c r="AE102" s="171"/>
      <c r="AF102" s="171"/>
      <c r="AG102" s="171" t="s">
        <v>148</v>
      </c>
      <c r="AH102" s="171">
        <v>0</v>
      </c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</row>
    <row r="103" spans="1:60" outlineLevel="3" x14ac:dyDescent="0.2">
      <c r="A103" s="172"/>
      <c r="B103" s="173"/>
      <c r="C103" s="174" t="s">
        <v>220</v>
      </c>
      <c r="D103" s="175"/>
      <c r="E103" s="176">
        <v>2.13</v>
      </c>
      <c r="F103" s="196"/>
      <c r="G103" s="169"/>
      <c r="H103" s="169"/>
      <c r="I103" s="169"/>
      <c r="J103" s="169"/>
      <c r="K103" s="169"/>
      <c r="L103" s="169"/>
      <c r="M103" s="169"/>
      <c r="N103" s="170"/>
      <c r="O103" s="170"/>
      <c r="P103" s="170"/>
      <c r="Q103" s="170"/>
      <c r="R103" s="169"/>
      <c r="S103" s="169"/>
      <c r="T103" s="169"/>
      <c r="U103" s="169"/>
      <c r="V103" s="169"/>
      <c r="W103" s="169"/>
      <c r="X103" s="169"/>
      <c r="Y103" s="169"/>
      <c r="Z103" s="171"/>
      <c r="AA103" s="171"/>
      <c r="AB103" s="171"/>
      <c r="AC103" s="171"/>
      <c r="AD103" s="171"/>
      <c r="AE103" s="171"/>
      <c r="AF103" s="171"/>
      <c r="AG103" s="171" t="s">
        <v>148</v>
      </c>
      <c r="AH103" s="171">
        <v>0</v>
      </c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</row>
    <row r="104" spans="1:60" outlineLevel="3" x14ac:dyDescent="0.2">
      <c r="A104" s="172"/>
      <c r="B104" s="173"/>
      <c r="C104" s="174" t="s">
        <v>151</v>
      </c>
      <c r="D104" s="175"/>
      <c r="E104" s="176"/>
      <c r="F104" s="196"/>
      <c r="G104" s="169"/>
      <c r="H104" s="169"/>
      <c r="I104" s="169"/>
      <c r="J104" s="169"/>
      <c r="K104" s="169"/>
      <c r="L104" s="169"/>
      <c r="M104" s="169"/>
      <c r="N104" s="170"/>
      <c r="O104" s="170"/>
      <c r="P104" s="170"/>
      <c r="Q104" s="170"/>
      <c r="R104" s="169"/>
      <c r="S104" s="169"/>
      <c r="T104" s="169"/>
      <c r="U104" s="169"/>
      <c r="V104" s="169"/>
      <c r="W104" s="169"/>
      <c r="X104" s="169"/>
      <c r="Y104" s="169"/>
      <c r="Z104" s="171"/>
      <c r="AA104" s="171"/>
      <c r="AB104" s="171"/>
      <c r="AC104" s="171"/>
      <c r="AD104" s="171"/>
      <c r="AE104" s="171"/>
      <c r="AF104" s="171"/>
      <c r="AG104" s="171" t="s">
        <v>148</v>
      </c>
      <c r="AH104" s="171">
        <v>0</v>
      </c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</row>
    <row r="105" spans="1:60" outlineLevel="3" x14ac:dyDescent="0.2">
      <c r="A105" s="172"/>
      <c r="B105" s="173"/>
      <c r="C105" s="174" t="s">
        <v>221</v>
      </c>
      <c r="D105" s="175"/>
      <c r="E105" s="176">
        <v>2.12</v>
      </c>
      <c r="F105" s="196"/>
      <c r="G105" s="169"/>
      <c r="H105" s="169"/>
      <c r="I105" s="169"/>
      <c r="J105" s="169"/>
      <c r="K105" s="169"/>
      <c r="L105" s="169"/>
      <c r="M105" s="169"/>
      <c r="N105" s="170"/>
      <c r="O105" s="170"/>
      <c r="P105" s="170"/>
      <c r="Q105" s="170"/>
      <c r="R105" s="169"/>
      <c r="S105" s="169"/>
      <c r="T105" s="169"/>
      <c r="U105" s="169"/>
      <c r="V105" s="169"/>
      <c r="W105" s="169"/>
      <c r="X105" s="169"/>
      <c r="Y105" s="169"/>
      <c r="Z105" s="171"/>
      <c r="AA105" s="171"/>
      <c r="AB105" s="171"/>
      <c r="AC105" s="171"/>
      <c r="AD105" s="171"/>
      <c r="AE105" s="171"/>
      <c r="AF105" s="171"/>
      <c r="AG105" s="171" t="s">
        <v>148</v>
      </c>
      <c r="AH105" s="171">
        <v>0</v>
      </c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</row>
    <row r="106" spans="1:60" outlineLevel="3" x14ac:dyDescent="0.2">
      <c r="A106" s="172"/>
      <c r="B106" s="173"/>
      <c r="C106" s="174" t="s">
        <v>152</v>
      </c>
      <c r="D106" s="175"/>
      <c r="E106" s="176"/>
      <c r="F106" s="196"/>
      <c r="G106" s="169"/>
      <c r="H106" s="169"/>
      <c r="I106" s="169"/>
      <c r="J106" s="169"/>
      <c r="K106" s="169"/>
      <c r="L106" s="169"/>
      <c r="M106" s="169"/>
      <c r="N106" s="170"/>
      <c r="O106" s="170"/>
      <c r="P106" s="170"/>
      <c r="Q106" s="170"/>
      <c r="R106" s="169"/>
      <c r="S106" s="169"/>
      <c r="T106" s="169"/>
      <c r="U106" s="169"/>
      <c r="V106" s="169"/>
      <c r="W106" s="169"/>
      <c r="X106" s="169"/>
      <c r="Y106" s="169"/>
      <c r="Z106" s="171"/>
      <c r="AA106" s="171"/>
      <c r="AB106" s="171"/>
      <c r="AC106" s="171"/>
      <c r="AD106" s="171"/>
      <c r="AE106" s="171"/>
      <c r="AF106" s="171"/>
      <c r="AG106" s="171" t="s">
        <v>148</v>
      </c>
      <c r="AH106" s="171">
        <v>0</v>
      </c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</row>
    <row r="107" spans="1:60" outlineLevel="3" x14ac:dyDescent="0.2">
      <c r="A107" s="172"/>
      <c r="B107" s="173"/>
      <c r="C107" s="174" t="s">
        <v>221</v>
      </c>
      <c r="D107" s="175"/>
      <c r="E107" s="176">
        <v>2.12</v>
      </c>
      <c r="F107" s="196"/>
      <c r="G107" s="169"/>
      <c r="H107" s="169"/>
      <c r="I107" s="169"/>
      <c r="J107" s="169"/>
      <c r="K107" s="169"/>
      <c r="L107" s="169"/>
      <c r="M107" s="169"/>
      <c r="N107" s="170"/>
      <c r="O107" s="170"/>
      <c r="P107" s="170"/>
      <c r="Q107" s="170"/>
      <c r="R107" s="169"/>
      <c r="S107" s="169"/>
      <c r="T107" s="169"/>
      <c r="U107" s="169"/>
      <c r="V107" s="169"/>
      <c r="W107" s="169"/>
      <c r="X107" s="169"/>
      <c r="Y107" s="169"/>
      <c r="Z107" s="171"/>
      <c r="AA107" s="171"/>
      <c r="AB107" s="171"/>
      <c r="AC107" s="171"/>
      <c r="AD107" s="171"/>
      <c r="AE107" s="171"/>
      <c r="AF107" s="171"/>
      <c r="AG107" s="171" t="s">
        <v>148</v>
      </c>
      <c r="AH107" s="171">
        <v>0</v>
      </c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</row>
    <row r="108" spans="1:60" ht="22.5" outlineLevel="1" x14ac:dyDescent="0.2">
      <c r="A108" s="162">
        <v>11</v>
      </c>
      <c r="B108" s="163" t="s">
        <v>222</v>
      </c>
      <c r="C108" s="164" t="s">
        <v>223</v>
      </c>
      <c r="D108" s="165" t="s">
        <v>155</v>
      </c>
      <c r="E108" s="166">
        <v>2.7439999999999999E-2</v>
      </c>
      <c r="F108" s="140"/>
      <c r="G108" s="167">
        <f>ROUND(E108*F108,2)</f>
        <v>0</v>
      </c>
      <c r="H108" s="168"/>
      <c r="I108" s="169">
        <f>ROUND(E108*H108,2)</f>
        <v>0</v>
      </c>
      <c r="J108" s="168"/>
      <c r="K108" s="169">
        <f>ROUND(E108*J108,2)</f>
        <v>0</v>
      </c>
      <c r="L108" s="169">
        <v>21</v>
      </c>
      <c r="M108" s="169">
        <f>G108*(1+L108/100)</f>
        <v>0</v>
      </c>
      <c r="N108" s="170">
        <v>1</v>
      </c>
      <c r="O108" s="170">
        <f>ROUND(E108*N108,2)</f>
        <v>0.03</v>
      </c>
      <c r="P108" s="170">
        <v>0</v>
      </c>
      <c r="Q108" s="170">
        <f>ROUND(E108*P108,2)</f>
        <v>0</v>
      </c>
      <c r="R108" s="169" t="s">
        <v>224</v>
      </c>
      <c r="S108" s="169" t="s">
        <v>143</v>
      </c>
      <c r="T108" s="169" t="s">
        <v>143</v>
      </c>
      <c r="U108" s="169">
        <v>0</v>
      </c>
      <c r="V108" s="169">
        <f>ROUND(E108*U108,2)</f>
        <v>0</v>
      </c>
      <c r="W108" s="169"/>
      <c r="X108" s="169" t="s">
        <v>225</v>
      </c>
      <c r="Y108" s="169" t="s">
        <v>145</v>
      </c>
      <c r="Z108" s="171"/>
      <c r="AA108" s="171"/>
      <c r="AB108" s="171"/>
      <c r="AC108" s="171"/>
      <c r="AD108" s="171"/>
      <c r="AE108" s="171"/>
      <c r="AF108" s="171"/>
      <c r="AG108" s="171" t="s">
        <v>226</v>
      </c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</row>
    <row r="109" spans="1:60" outlineLevel="2" x14ac:dyDescent="0.2">
      <c r="A109" s="172"/>
      <c r="B109" s="173"/>
      <c r="C109" s="174" t="s">
        <v>147</v>
      </c>
      <c r="D109" s="175"/>
      <c r="E109" s="176"/>
      <c r="F109" s="196"/>
      <c r="G109" s="169"/>
      <c r="H109" s="169"/>
      <c r="I109" s="169"/>
      <c r="J109" s="169"/>
      <c r="K109" s="169"/>
      <c r="L109" s="169"/>
      <c r="M109" s="169"/>
      <c r="N109" s="170"/>
      <c r="O109" s="170"/>
      <c r="P109" s="170"/>
      <c r="Q109" s="170"/>
      <c r="R109" s="169"/>
      <c r="S109" s="169"/>
      <c r="T109" s="169"/>
      <c r="U109" s="169"/>
      <c r="V109" s="169"/>
      <c r="W109" s="169"/>
      <c r="X109" s="169"/>
      <c r="Y109" s="169"/>
      <c r="Z109" s="171"/>
      <c r="AA109" s="171"/>
      <c r="AB109" s="171"/>
      <c r="AC109" s="171"/>
      <c r="AD109" s="171"/>
      <c r="AE109" s="171"/>
      <c r="AF109" s="171"/>
      <c r="AG109" s="171" t="s">
        <v>148</v>
      </c>
      <c r="AH109" s="171">
        <v>0</v>
      </c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</row>
    <row r="110" spans="1:60" outlineLevel="3" x14ac:dyDescent="0.2">
      <c r="A110" s="172"/>
      <c r="B110" s="173"/>
      <c r="C110" s="174" t="s">
        <v>149</v>
      </c>
      <c r="D110" s="175"/>
      <c r="E110" s="176"/>
      <c r="F110" s="196"/>
      <c r="G110" s="169"/>
      <c r="H110" s="169"/>
      <c r="I110" s="169"/>
      <c r="J110" s="169"/>
      <c r="K110" s="169"/>
      <c r="L110" s="169"/>
      <c r="M110" s="169"/>
      <c r="N110" s="170"/>
      <c r="O110" s="170"/>
      <c r="P110" s="170"/>
      <c r="Q110" s="170"/>
      <c r="R110" s="169"/>
      <c r="S110" s="169"/>
      <c r="T110" s="169"/>
      <c r="U110" s="169"/>
      <c r="V110" s="169"/>
      <c r="W110" s="169"/>
      <c r="X110" s="169"/>
      <c r="Y110" s="169"/>
      <c r="Z110" s="171"/>
      <c r="AA110" s="171"/>
      <c r="AB110" s="171"/>
      <c r="AC110" s="171"/>
      <c r="AD110" s="171"/>
      <c r="AE110" s="171"/>
      <c r="AF110" s="171"/>
      <c r="AG110" s="171" t="s">
        <v>148</v>
      </c>
      <c r="AH110" s="171">
        <v>0</v>
      </c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</row>
    <row r="111" spans="1:60" outlineLevel="3" x14ac:dyDescent="0.2">
      <c r="A111" s="172"/>
      <c r="B111" s="173"/>
      <c r="C111" s="174" t="s">
        <v>227</v>
      </c>
      <c r="D111" s="175"/>
      <c r="E111" s="176">
        <v>9.1500000000000001E-3</v>
      </c>
      <c r="F111" s="196"/>
      <c r="G111" s="169"/>
      <c r="H111" s="169"/>
      <c r="I111" s="169"/>
      <c r="J111" s="169"/>
      <c r="K111" s="169"/>
      <c r="L111" s="169"/>
      <c r="M111" s="169"/>
      <c r="N111" s="170"/>
      <c r="O111" s="170"/>
      <c r="P111" s="170"/>
      <c r="Q111" s="170"/>
      <c r="R111" s="169"/>
      <c r="S111" s="169"/>
      <c r="T111" s="169"/>
      <c r="U111" s="169"/>
      <c r="V111" s="169"/>
      <c r="W111" s="169"/>
      <c r="X111" s="169"/>
      <c r="Y111" s="169"/>
      <c r="Z111" s="171"/>
      <c r="AA111" s="171"/>
      <c r="AB111" s="171"/>
      <c r="AC111" s="171"/>
      <c r="AD111" s="171"/>
      <c r="AE111" s="171"/>
      <c r="AF111" s="171"/>
      <c r="AG111" s="171" t="s">
        <v>148</v>
      </c>
      <c r="AH111" s="171">
        <v>0</v>
      </c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</row>
    <row r="112" spans="1:60" outlineLevel="3" x14ac:dyDescent="0.2">
      <c r="A112" s="172"/>
      <c r="B112" s="173"/>
      <c r="C112" s="174" t="s">
        <v>151</v>
      </c>
      <c r="D112" s="175"/>
      <c r="E112" s="176"/>
      <c r="F112" s="196"/>
      <c r="G112" s="169"/>
      <c r="H112" s="169"/>
      <c r="I112" s="169"/>
      <c r="J112" s="169"/>
      <c r="K112" s="169"/>
      <c r="L112" s="169"/>
      <c r="M112" s="169"/>
      <c r="N112" s="170"/>
      <c r="O112" s="170"/>
      <c r="P112" s="170"/>
      <c r="Q112" s="170"/>
      <c r="R112" s="169"/>
      <c r="S112" s="169"/>
      <c r="T112" s="169"/>
      <c r="U112" s="169"/>
      <c r="V112" s="169"/>
      <c r="W112" s="169"/>
      <c r="X112" s="169"/>
      <c r="Y112" s="169"/>
      <c r="Z112" s="171"/>
      <c r="AA112" s="171"/>
      <c r="AB112" s="171"/>
      <c r="AC112" s="171"/>
      <c r="AD112" s="171"/>
      <c r="AE112" s="171"/>
      <c r="AF112" s="171"/>
      <c r="AG112" s="171" t="s">
        <v>148</v>
      </c>
      <c r="AH112" s="171">
        <v>0</v>
      </c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</row>
    <row r="113" spans="1:60" outlineLevel="3" x14ac:dyDescent="0.2">
      <c r="A113" s="172"/>
      <c r="B113" s="173"/>
      <c r="C113" s="174" t="s">
        <v>227</v>
      </c>
      <c r="D113" s="175"/>
      <c r="E113" s="176">
        <v>9.1500000000000001E-3</v>
      </c>
      <c r="F113" s="196"/>
      <c r="G113" s="169"/>
      <c r="H113" s="169"/>
      <c r="I113" s="169"/>
      <c r="J113" s="169"/>
      <c r="K113" s="169"/>
      <c r="L113" s="169"/>
      <c r="M113" s="169"/>
      <c r="N113" s="170"/>
      <c r="O113" s="170"/>
      <c r="P113" s="170"/>
      <c r="Q113" s="170"/>
      <c r="R113" s="169"/>
      <c r="S113" s="169"/>
      <c r="T113" s="169"/>
      <c r="U113" s="169"/>
      <c r="V113" s="169"/>
      <c r="W113" s="169"/>
      <c r="X113" s="169"/>
      <c r="Y113" s="169"/>
      <c r="Z113" s="171"/>
      <c r="AA113" s="171"/>
      <c r="AB113" s="171"/>
      <c r="AC113" s="171"/>
      <c r="AD113" s="171"/>
      <c r="AE113" s="171"/>
      <c r="AF113" s="171"/>
      <c r="AG113" s="171" t="s">
        <v>148</v>
      </c>
      <c r="AH113" s="171">
        <v>0</v>
      </c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</row>
    <row r="114" spans="1:60" outlineLevel="3" x14ac:dyDescent="0.2">
      <c r="A114" s="172"/>
      <c r="B114" s="173"/>
      <c r="C114" s="174" t="s">
        <v>152</v>
      </c>
      <c r="D114" s="175"/>
      <c r="E114" s="176"/>
      <c r="F114" s="196"/>
      <c r="G114" s="169"/>
      <c r="H114" s="169"/>
      <c r="I114" s="169"/>
      <c r="J114" s="169"/>
      <c r="K114" s="169"/>
      <c r="L114" s="169"/>
      <c r="M114" s="169"/>
      <c r="N114" s="170"/>
      <c r="O114" s="170"/>
      <c r="P114" s="170"/>
      <c r="Q114" s="170"/>
      <c r="R114" s="169"/>
      <c r="S114" s="169"/>
      <c r="T114" s="169"/>
      <c r="U114" s="169"/>
      <c r="V114" s="169"/>
      <c r="W114" s="169"/>
      <c r="X114" s="169"/>
      <c r="Y114" s="169"/>
      <c r="Z114" s="171"/>
      <c r="AA114" s="171"/>
      <c r="AB114" s="171"/>
      <c r="AC114" s="171"/>
      <c r="AD114" s="171"/>
      <c r="AE114" s="171"/>
      <c r="AF114" s="171"/>
      <c r="AG114" s="171" t="s">
        <v>148</v>
      </c>
      <c r="AH114" s="171">
        <v>0</v>
      </c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</row>
    <row r="115" spans="1:60" outlineLevel="3" x14ac:dyDescent="0.2">
      <c r="A115" s="172"/>
      <c r="B115" s="173"/>
      <c r="C115" s="174" t="s">
        <v>227</v>
      </c>
      <c r="D115" s="175"/>
      <c r="E115" s="176">
        <v>9.1500000000000001E-3</v>
      </c>
      <c r="F115" s="196"/>
      <c r="G115" s="169"/>
      <c r="H115" s="169"/>
      <c r="I115" s="169"/>
      <c r="J115" s="169"/>
      <c r="K115" s="169"/>
      <c r="L115" s="169"/>
      <c r="M115" s="169"/>
      <c r="N115" s="170"/>
      <c r="O115" s="170"/>
      <c r="P115" s="170"/>
      <c r="Q115" s="170"/>
      <c r="R115" s="169"/>
      <c r="S115" s="169"/>
      <c r="T115" s="169"/>
      <c r="U115" s="169"/>
      <c r="V115" s="169"/>
      <c r="W115" s="169"/>
      <c r="X115" s="169"/>
      <c r="Y115" s="169"/>
      <c r="Z115" s="171"/>
      <c r="AA115" s="171"/>
      <c r="AB115" s="171"/>
      <c r="AC115" s="171"/>
      <c r="AD115" s="171"/>
      <c r="AE115" s="171"/>
      <c r="AF115" s="171"/>
      <c r="AG115" s="171" t="s">
        <v>148</v>
      </c>
      <c r="AH115" s="171">
        <v>0</v>
      </c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</row>
    <row r="116" spans="1:60" x14ac:dyDescent="0.2">
      <c r="A116" s="153" t="s">
        <v>138</v>
      </c>
      <c r="B116" s="154" t="s">
        <v>65</v>
      </c>
      <c r="C116" s="155" t="s">
        <v>66</v>
      </c>
      <c r="D116" s="156"/>
      <c r="E116" s="157"/>
      <c r="F116" s="197"/>
      <c r="G116" s="159">
        <f>SUMIF(AG117:AG120,"&lt;&gt;NOR",G117:G120)</f>
        <v>0</v>
      </c>
      <c r="H116" s="160"/>
      <c r="I116" s="160">
        <f>SUM(I117:I120)</f>
        <v>0</v>
      </c>
      <c r="J116" s="160"/>
      <c r="K116" s="160">
        <f>SUM(K117:K120)</f>
        <v>0</v>
      </c>
      <c r="L116" s="160"/>
      <c r="M116" s="160">
        <f>SUM(M117:M120)</f>
        <v>0</v>
      </c>
      <c r="N116" s="161"/>
      <c r="O116" s="161">
        <f>SUM(O117:O120)</f>
        <v>0.01</v>
      </c>
      <c r="P116" s="161"/>
      <c r="Q116" s="161">
        <f>SUM(Q117:Q120)</f>
        <v>0</v>
      </c>
      <c r="R116" s="160"/>
      <c r="S116" s="160"/>
      <c r="T116" s="160"/>
      <c r="U116" s="160"/>
      <c r="V116" s="160">
        <f>SUM(V117:V120)</f>
        <v>1.76</v>
      </c>
      <c r="W116" s="160"/>
      <c r="X116" s="160"/>
      <c r="Y116" s="160"/>
      <c r="AG116" t="s">
        <v>139</v>
      </c>
    </row>
    <row r="117" spans="1:60" outlineLevel="1" x14ac:dyDescent="0.2">
      <c r="A117" s="162">
        <v>12</v>
      </c>
      <c r="B117" s="163" t="s">
        <v>228</v>
      </c>
      <c r="C117" s="164" t="s">
        <v>229</v>
      </c>
      <c r="D117" s="165" t="s">
        <v>230</v>
      </c>
      <c r="E117" s="166">
        <v>6</v>
      </c>
      <c r="F117" s="140"/>
      <c r="G117" s="167">
        <f>ROUND(E117*F117,2)</f>
        <v>0</v>
      </c>
      <c r="H117" s="168"/>
      <c r="I117" s="169">
        <f>ROUND(E117*H117,2)</f>
        <v>0</v>
      </c>
      <c r="J117" s="168"/>
      <c r="K117" s="169">
        <f>ROUND(E117*J117,2)</f>
        <v>0</v>
      </c>
      <c r="L117" s="169">
        <v>21</v>
      </c>
      <c r="M117" s="169">
        <f>G117*(1+L117/100)</f>
        <v>0</v>
      </c>
      <c r="N117" s="170">
        <v>2.3800000000000002E-3</v>
      </c>
      <c r="O117" s="170">
        <f>ROUND(E117*N117,2)</f>
        <v>0.01</v>
      </c>
      <c r="P117" s="170">
        <v>0</v>
      </c>
      <c r="Q117" s="170">
        <f>ROUND(E117*P117,2)</f>
        <v>0</v>
      </c>
      <c r="R117" s="169"/>
      <c r="S117" s="169" t="s">
        <v>143</v>
      </c>
      <c r="T117" s="169" t="s">
        <v>143</v>
      </c>
      <c r="U117" s="169">
        <v>0.29299999999999998</v>
      </c>
      <c r="V117" s="169">
        <f>ROUND(E117*U117,2)</f>
        <v>1.76</v>
      </c>
      <c r="W117" s="169"/>
      <c r="X117" s="169" t="s">
        <v>144</v>
      </c>
      <c r="Y117" s="169" t="s">
        <v>145</v>
      </c>
      <c r="Z117" s="171"/>
      <c r="AA117" s="171"/>
      <c r="AB117" s="171"/>
      <c r="AC117" s="171"/>
      <c r="AD117" s="171"/>
      <c r="AE117" s="171"/>
      <c r="AF117" s="171"/>
      <c r="AG117" s="171" t="s">
        <v>146</v>
      </c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</row>
    <row r="118" spans="1:60" outlineLevel="2" x14ac:dyDescent="0.2">
      <c r="A118" s="172"/>
      <c r="B118" s="173"/>
      <c r="C118" s="174" t="s">
        <v>231</v>
      </c>
      <c r="D118" s="175"/>
      <c r="E118" s="176"/>
      <c r="F118" s="196"/>
      <c r="G118" s="169"/>
      <c r="H118" s="169"/>
      <c r="I118" s="169"/>
      <c r="J118" s="169"/>
      <c r="K118" s="169"/>
      <c r="L118" s="169"/>
      <c r="M118" s="169"/>
      <c r="N118" s="170"/>
      <c r="O118" s="170"/>
      <c r="P118" s="170"/>
      <c r="Q118" s="170"/>
      <c r="R118" s="169"/>
      <c r="S118" s="169"/>
      <c r="T118" s="169"/>
      <c r="U118" s="169"/>
      <c r="V118" s="169"/>
      <c r="W118" s="169"/>
      <c r="X118" s="169"/>
      <c r="Y118" s="169"/>
      <c r="Z118" s="171"/>
      <c r="AA118" s="171"/>
      <c r="AB118" s="171"/>
      <c r="AC118" s="171"/>
      <c r="AD118" s="171"/>
      <c r="AE118" s="171"/>
      <c r="AF118" s="171"/>
      <c r="AG118" s="171" t="s">
        <v>148</v>
      </c>
      <c r="AH118" s="171">
        <v>0</v>
      </c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</row>
    <row r="119" spans="1:60" outlineLevel="3" x14ac:dyDescent="0.2">
      <c r="A119" s="172"/>
      <c r="B119" s="173"/>
      <c r="C119" s="174" t="s">
        <v>149</v>
      </c>
      <c r="D119" s="175"/>
      <c r="E119" s="176"/>
      <c r="F119" s="196"/>
      <c r="G119" s="169"/>
      <c r="H119" s="169"/>
      <c r="I119" s="169"/>
      <c r="J119" s="169"/>
      <c r="K119" s="169"/>
      <c r="L119" s="169"/>
      <c r="M119" s="169"/>
      <c r="N119" s="170"/>
      <c r="O119" s="170"/>
      <c r="P119" s="170"/>
      <c r="Q119" s="170"/>
      <c r="R119" s="169"/>
      <c r="S119" s="169"/>
      <c r="T119" s="169"/>
      <c r="U119" s="169"/>
      <c r="V119" s="169"/>
      <c r="W119" s="169"/>
      <c r="X119" s="169"/>
      <c r="Y119" s="169"/>
      <c r="Z119" s="171"/>
      <c r="AA119" s="171"/>
      <c r="AB119" s="171"/>
      <c r="AC119" s="171"/>
      <c r="AD119" s="171"/>
      <c r="AE119" s="171"/>
      <c r="AF119" s="171"/>
      <c r="AG119" s="171" t="s">
        <v>148</v>
      </c>
      <c r="AH119" s="171">
        <v>0</v>
      </c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</row>
    <row r="120" spans="1:60" outlineLevel="3" x14ac:dyDescent="0.2">
      <c r="A120" s="172"/>
      <c r="B120" s="173"/>
      <c r="C120" s="174" t="s">
        <v>232</v>
      </c>
      <c r="D120" s="175"/>
      <c r="E120" s="176">
        <v>6</v>
      </c>
      <c r="F120" s="196"/>
      <c r="G120" s="169"/>
      <c r="H120" s="169"/>
      <c r="I120" s="169"/>
      <c r="J120" s="169"/>
      <c r="K120" s="169"/>
      <c r="L120" s="169"/>
      <c r="M120" s="169"/>
      <c r="N120" s="170"/>
      <c r="O120" s="170"/>
      <c r="P120" s="170"/>
      <c r="Q120" s="170"/>
      <c r="R120" s="169"/>
      <c r="S120" s="169"/>
      <c r="T120" s="169"/>
      <c r="U120" s="169"/>
      <c r="V120" s="169"/>
      <c r="W120" s="169"/>
      <c r="X120" s="169"/>
      <c r="Y120" s="169"/>
      <c r="Z120" s="171"/>
      <c r="AA120" s="171"/>
      <c r="AB120" s="171"/>
      <c r="AC120" s="171"/>
      <c r="AD120" s="171"/>
      <c r="AE120" s="171"/>
      <c r="AF120" s="171"/>
      <c r="AG120" s="171" t="s">
        <v>148</v>
      </c>
      <c r="AH120" s="171">
        <v>0</v>
      </c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</row>
    <row r="121" spans="1:60" x14ac:dyDescent="0.2">
      <c r="A121" s="153" t="s">
        <v>138</v>
      </c>
      <c r="B121" s="154" t="s">
        <v>67</v>
      </c>
      <c r="C121" s="155" t="s">
        <v>68</v>
      </c>
      <c r="D121" s="156"/>
      <c r="E121" s="157"/>
      <c r="F121" s="197"/>
      <c r="G121" s="159">
        <f>SUMIF(AG122:AG162,"&lt;&gt;NOR",G122:G162)</f>
        <v>0</v>
      </c>
      <c r="H121" s="160"/>
      <c r="I121" s="160">
        <f>SUM(I122:I162)</f>
        <v>0</v>
      </c>
      <c r="J121" s="160"/>
      <c r="K121" s="160">
        <f>SUM(K122:K162)</f>
        <v>0</v>
      </c>
      <c r="L121" s="160"/>
      <c r="M121" s="160">
        <f>SUM(M122:M162)</f>
        <v>0</v>
      </c>
      <c r="N121" s="161"/>
      <c r="O121" s="161">
        <f>SUM(O122:O162)</f>
        <v>25.3</v>
      </c>
      <c r="P121" s="161"/>
      <c r="Q121" s="161">
        <f>SUM(Q122:Q162)</f>
        <v>0</v>
      </c>
      <c r="R121" s="160"/>
      <c r="S121" s="160"/>
      <c r="T121" s="160"/>
      <c r="U121" s="160"/>
      <c r="V121" s="160">
        <f>SUM(V122:V162)</f>
        <v>450.83000000000004</v>
      </c>
      <c r="W121" s="160"/>
      <c r="X121" s="160"/>
      <c r="Y121" s="160"/>
      <c r="AG121" t="s">
        <v>139</v>
      </c>
    </row>
    <row r="122" spans="1:60" outlineLevel="1" x14ac:dyDescent="0.2">
      <c r="A122" s="162">
        <v>13</v>
      </c>
      <c r="B122" s="163" t="s">
        <v>233</v>
      </c>
      <c r="C122" s="164" t="s">
        <v>234</v>
      </c>
      <c r="D122" s="165" t="s">
        <v>159</v>
      </c>
      <c r="E122" s="166">
        <v>25.344000000000001</v>
      </c>
      <c r="F122" s="140"/>
      <c r="G122" s="167">
        <f>ROUND(E122*F122,2)</f>
        <v>0</v>
      </c>
      <c r="H122" s="168"/>
      <c r="I122" s="169">
        <f>ROUND(E122*H122,2)</f>
        <v>0</v>
      </c>
      <c r="J122" s="168"/>
      <c r="K122" s="169">
        <f>ROUND(E122*J122,2)</f>
        <v>0</v>
      </c>
      <c r="L122" s="169">
        <v>21</v>
      </c>
      <c r="M122" s="169">
        <f>G122*(1+L122/100)</f>
        <v>0</v>
      </c>
      <c r="N122" s="170">
        <v>4.0000000000000003E-5</v>
      </c>
      <c r="O122" s="170">
        <f>ROUND(E122*N122,2)</f>
        <v>0</v>
      </c>
      <c r="P122" s="170">
        <v>0</v>
      </c>
      <c r="Q122" s="170">
        <f>ROUND(E122*P122,2)</f>
        <v>0</v>
      </c>
      <c r="R122" s="169"/>
      <c r="S122" s="169" t="s">
        <v>143</v>
      </c>
      <c r="T122" s="169" t="s">
        <v>143</v>
      </c>
      <c r="U122" s="169">
        <v>7.8E-2</v>
      </c>
      <c r="V122" s="169">
        <f>ROUND(E122*U122,2)</f>
        <v>1.98</v>
      </c>
      <c r="W122" s="169"/>
      <c r="X122" s="169" t="s">
        <v>144</v>
      </c>
      <c r="Y122" s="169" t="s">
        <v>145</v>
      </c>
      <c r="Z122" s="171"/>
      <c r="AA122" s="171"/>
      <c r="AB122" s="171"/>
      <c r="AC122" s="171"/>
      <c r="AD122" s="171"/>
      <c r="AE122" s="171"/>
      <c r="AF122" s="171"/>
      <c r="AG122" s="171" t="s">
        <v>146</v>
      </c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</row>
    <row r="123" spans="1:60" outlineLevel="2" x14ac:dyDescent="0.2">
      <c r="A123" s="172"/>
      <c r="B123" s="173"/>
      <c r="C123" s="174" t="s">
        <v>149</v>
      </c>
      <c r="D123" s="175"/>
      <c r="E123" s="176"/>
      <c r="F123" s="196"/>
      <c r="G123" s="169"/>
      <c r="H123" s="169"/>
      <c r="I123" s="169"/>
      <c r="J123" s="169"/>
      <c r="K123" s="169"/>
      <c r="L123" s="169"/>
      <c r="M123" s="169"/>
      <c r="N123" s="170"/>
      <c r="O123" s="170"/>
      <c r="P123" s="170"/>
      <c r="Q123" s="170"/>
      <c r="R123" s="169"/>
      <c r="S123" s="169"/>
      <c r="T123" s="169"/>
      <c r="U123" s="169"/>
      <c r="V123" s="169"/>
      <c r="W123" s="169"/>
      <c r="X123" s="169"/>
      <c r="Y123" s="169"/>
      <c r="Z123" s="171"/>
      <c r="AA123" s="171"/>
      <c r="AB123" s="171"/>
      <c r="AC123" s="171"/>
      <c r="AD123" s="171"/>
      <c r="AE123" s="171"/>
      <c r="AF123" s="171"/>
      <c r="AG123" s="171" t="s">
        <v>148</v>
      </c>
      <c r="AH123" s="171">
        <v>0</v>
      </c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</row>
    <row r="124" spans="1:60" outlineLevel="3" x14ac:dyDescent="0.2">
      <c r="A124" s="172"/>
      <c r="B124" s="173"/>
      <c r="C124" s="174" t="s">
        <v>235</v>
      </c>
      <c r="D124" s="175"/>
      <c r="E124" s="176">
        <v>8.4480000000000004</v>
      </c>
      <c r="F124" s="196"/>
      <c r="G124" s="169"/>
      <c r="H124" s="169"/>
      <c r="I124" s="169"/>
      <c r="J124" s="169"/>
      <c r="K124" s="169"/>
      <c r="L124" s="169"/>
      <c r="M124" s="169"/>
      <c r="N124" s="170"/>
      <c r="O124" s="170"/>
      <c r="P124" s="170"/>
      <c r="Q124" s="170"/>
      <c r="R124" s="169"/>
      <c r="S124" s="169"/>
      <c r="T124" s="169"/>
      <c r="U124" s="169"/>
      <c r="V124" s="169"/>
      <c r="W124" s="169"/>
      <c r="X124" s="169"/>
      <c r="Y124" s="169"/>
      <c r="Z124" s="171"/>
      <c r="AA124" s="171"/>
      <c r="AB124" s="171"/>
      <c r="AC124" s="171"/>
      <c r="AD124" s="171"/>
      <c r="AE124" s="171"/>
      <c r="AF124" s="171"/>
      <c r="AG124" s="171" t="s">
        <v>148</v>
      </c>
      <c r="AH124" s="171">
        <v>0</v>
      </c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</row>
    <row r="125" spans="1:60" outlineLevel="3" x14ac:dyDescent="0.2">
      <c r="A125" s="172"/>
      <c r="B125" s="173"/>
      <c r="C125" s="174" t="s">
        <v>151</v>
      </c>
      <c r="D125" s="175"/>
      <c r="E125" s="176"/>
      <c r="F125" s="196"/>
      <c r="G125" s="169"/>
      <c r="H125" s="169"/>
      <c r="I125" s="169"/>
      <c r="J125" s="169"/>
      <c r="K125" s="169"/>
      <c r="L125" s="169"/>
      <c r="M125" s="169"/>
      <c r="N125" s="170"/>
      <c r="O125" s="170"/>
      <c r="P125" s="170"/>
      <c r="Q125" s="170"/>
      <c r="R125" s="169"/>
      <c r="S125" s="169"/>
      <c r="T125" s="169"/>
      <c r="U125" s="169"/>
      <c r="V125" s="169"/>
      <c r="W125" s="169"/>
      <c r="X125" s="169"/>
      <c r="Y125" s="169"/>
      <c r="Z125" s="171"/>
      <c r="AA125" s="171"/>
      <c r="AB125" s="171"/>
      <c r="AC125" s="171"/>
      <c r="AD125" s="171"/>
      <c r="AE125" s="171"/>
      <c r="AF125" s="171"/>
      <c r="AG125" s="171" t="s">
        <v>148</v>
      </c>
      <c r="AH125" s="171">
        <v>0</v>
      </c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</row>
    <row r="126" spans="1:60" outlineLevel="3" x14ac:dyDescent="0.2">
      <c r="A126" s="172"/>
      <c r="B126" s="173"/>
      <c r="C126" s="174" t="s">
        <v>235</v>
      </c>
      <c r="D126" s="175"/>
      <c r="E126" s="176">
        <v>8.4480000000000004</v>
      </c>
      <c r="F126" s="196"/>
      <c r="G126" s="169"/>
      <c r="H126" s="169"/>
      <c r="I126" s="169"/>
      <c r="J126" s="169"/>
      <c r="K126" s="169"/>
      <c r="L126" s="169"/>
      <c r="M126" s="169"/>
      <c r="N126" s="170"/>
      <c r="O126" s="170"/>
      <c r="P126" s="170"/>
      <c r="Q126" s="170"/>
      <c r="R126" s="169"/>
      <c r="S126" s="169"/>
      <c r="T126" s="169"/>
      <c r="U126" s="169"/>
      <c r="V126" s="169"/>
      <c r="W126" s="169"/>
      <c r="X126" s="169"/>
      <c r="Y126" s="169"/>
      <c r="Z126" s="171"/>
      <c r="AA126" s="171"/>
      <c r="AB126" s="171"/>
      <c r="AC126" s="171"/>
      <c r="AD126" s="171"/>
      <c r="AE126" s="171"/>
      <c r="AF126" s="171"/>
      <c r="AG126" s="171" t="s">
        <v>148</v>
      </c>
      <c r="AH126" s="171">
        <v>0</v>
      </c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</row>
    <row r="127" spans="1:60" outlineLevel="3" x14ac:dyDescent="0.2">
      <c r="A127" s="172"/>
      <c r="B127" s="173"/>
      <c r="C127" s="174" t="s">
        <v>152</v>
      </c>
      <c r="D127" s="175"/>
      <c r="E127" s="176"/>
      <c r="F127" s="196"/>
      <c r="G127" s="169"/>
      <c r="H127" s="169"/>
      <c r="I127" s="169"/>
      <c r="J127" s="169"/>
      <c r="K127" s="169"/>
      <c r="L127" s="169"/>
      <c r="M127" s="169"/>
      <c r="N127" s="170"/>
      <c r="O127" s="170"/>
      <c r="P127" s="170"/>
      <c r="Q127" s="170"/>
      <c r="R127" s="169"/>
      <c r="S127" s="169"/>
      <c r="T127" s="169"/>
      <c r="U127" s="169"/>
      <c r="V127" s="169"/>
      <c r="W127" s="169"/>
      <c r="X127" s="169"/>
      <c r="Y127" s="169"/>
      <c r="Z127" s="171"/>
      <c r="AA127" s="171"/>
      <c r="AB127" s="171"/>
      <c r="AC127" s="171"/>
      <c r="AD127" s="171"/>
      <c r="AE127" s="171"/>
      <c r="AF127" s="171"/>
      <c r="AG127" s="171" t="s">
        <v>148</v>
      </c>
      <c r="AH127" s="171">
        <v>0</v>
      </c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</row>
    <row r="128" spans="1:60" outlineLevel="3" x14ac:dyDescent="0.2">
      <c r="A128" s="172"/>
      <c r="B128" s="173"/>
      <c r="C128" s="174" t="s">
        <v>235</v>
      </c>
      <c r="D128" s="175"/>
      <c r="E128" s="176">
        <v>8.4480000000000004</v>
      </c>
      <c r="F128" s="196"/>
      <c r="G128" s="169"/>
      <c r="H128" s="169"/>
      <c r="I128" s="169"/>
      <c r="J128" s="169"/>
      <c r="K128" s="169"/>
      <c r="L128" s="169"/>
      <c r="M128" s="169"/>
      <c r="N128" s="170"/>
      <c r="O128" s="170"/>
      <c r="P128" s="170"/>
      <c r="Q128" s="170"/>
      <c r="R128" s="169"/>
      <c r="S128" s="169"/>
      <c r="T128" s="169"/>
      <c r="U128" s="169"/>
      <c r="V128" s="169"/>
      <c r="W128" s="169"/>
      <c r="X128" s="169"/>
      <c r="Y128" s="169"/>
      <c r="Z128" s="171"/>
      <c r="AA128" s="171"/>
      <c r="AB128" s="171"/>
      <c r="AC128" s="171"/>
      <c r="AD128" s="171"/>
      <c r="AE128" s="171"/>
      <c r="AF128" s="171"/>
      <c r="AG128" s="171" t="s">
        <v>148</v>
      </c>
      <c r="AH128" s="171">
        <v>0</v>
      </c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</row>
    <row r="129" spans="1:60" ht="22.5" outlineLevel="1" x14ac:dyDescent="0.2">
      <c r="A129" s="177">
        <v>14</v>
      </c>
      <c r="B129" s="178" t="s">
        <v>236</v>
      </c>
      <c r="C129" s="179" t="s">
        <v>237</v>
      </c>
      <c r="D129" s="180" t="s">
        <v>159</v>
      </c>
      <c r="E129" s="181">
        <v>135.63999999999999</v>
      </c>
      <c r="F129" s="141"/>
      <c r="G129" s="182">
        <f>ROUND(E129*F129,2)</f>
        <v>0</v>
      </c>
      <c r="H129" s="168"/>
      <c r="I129" s="169">
        <f>ROUND(E129*H129,2)</f>
        <v>0</v>
      </c>
      <c r="J129" s="168"/>
      <c r="K129" s="169">
        <f>ROUND(E129*J129,2)</f>
        <v>0</v>
      </c>
      <c r="L129" s="169">
        <v>21</v>
      </c>
      <c r="M129" s="169">
        <f>G129*(1+L129/100)</f>
        <v>0</v>
      </c>
      <c r="N129" s="170">
        <v>1.7680000000000001E-2</v>
      </c>
      <c r="O129" s="170">
        <f>ROUND(E129*N129,2)</f>
        <v>2.4</v>
      </c>
      <c r="P129" s="170">
        <v>0</v>
      </c>
      <c r="Q129" s="170">
        <f>ROUND(E129*P129,2)</f>
        <v>0</v>
      </c>
      <c r="R129" s="169"/>
      <c r="S129" s="169" t="s">
        <v>143</v>
      </c>
      <c r="T129" s="169" t="s">
        <v>143</v>
      </c>
      <c r="U129" s="169">
        <v>0.38716</v>
      </c>
      <c r="V129" s="169">
        <f>ROUND(E129*U129,2)</f>
        <v>52.51</v>
      </c>
      <c r="W129" s="169"/>
      <c r="X129" s="169" t="s">
        <v>144</v>
      </c>
      <c r="Y129" s="169" t="s">
        <v>145</v>
      </c>
      <c r="Z129" s="171"/>
      <c r="AA129" s="171"/>
      <c r="AB129" s="171"/>
      <c r="AC129" s="171"/>
      <c r="AD129" s="171"/>
      <c r="AE129" s="171"/>
      <c r="AF129" s="171"/>
      <c r="AG129" s="171" t="s">
        <v>146</v>
      </c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</row>
    <row r="130" spans="1:60" outlineLevel="1" x14ac:dyDescent="0.2">
      <c r="A130" s="162">
        <v>15</v>
      </c>
      <c r="B130" s="163" t="s">
        <v>238</v>
      </c>
      <c r="C130" s="164" t="s">
        <v>239</v>
      </c>
      <c r="D130" s="165" t="s">
        <v>159</v>
      </c>
      <c r="E130" s="166">
        <v>59.564999999999998</v>
      </c>
      <c r="F130" s="140"/>
      <c r="G130" s="167">
        <f>ROUND(E130*F130,2)</f>
        <v>0</v>
      </c>
      <c r="H130" s="168"/>
      <c r="I130" s="169">
        <f>ROUND(E130*H130,2)</f>
        <v>0</v>
      </c>
      <c r="J130" s="168"/>
      <c r="K130" s="169">
        <f>ROUND(E130*J130,2)</f>
        <v>0</v>
      </c>
      <c r="L130" s="169">
        <v>21</v>
      </c>
      <c r="M130" s="169">
        <f>G130*(1+L130/100)</f>
        <v>0</v>
      </c>
      <c r="N130" s="170">
        <v>4.7660000000000001E-2</v>
      </c>
      <c r="O130" s="170">
        <f>ROUND(E130*N130,2)</f>
        <v>2.84</v>
      </c>
      <c r="P130" s="170">
        <v>0</v>
      </c>
      <c r="Q130" s="170">
        <f>ROUND(E130*P130,2)</f>
        <v>0</v>
      </c>
      <c r="R130" s="169"/>
      <c r="S130" s="169" t="s">
        <v>143</v>
      </c>
      <c r="T130" s="169" t="s">
        <v>143</v>
      </c>
      <c r="U130" s="169">
        <v>0.84</v>
      </c>
      <c r="V130" s="169">
        <f>ROUND(E130*U130,2)</f>
        <v>50.03</v>
      </c>
      <c r="W130" s="169"/>
      <c r="X130" s="169" t="s">
        <v>144</v>
      </c>
      <c r="Y130" s="169" t="s">
        <v>145</v>
      </c>
      <c r="Z130" s="171"/>
      <c r="AA130" s="171"/>
      <c r="AB130" s="171"/>
      <c r="AC130" s="171"/>
      <c r="AD130" s="171"/>
      <c r="AE130" s="171"/>
      <c r="AF130" s="171"/>
      <c r="AG130" s="171" t="s">
        <v>146</v>
      </c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</row>
    <row r="131" spans="1:60" outlineLevel="2" x14ac:dyDescent="0.2">
      <c r="A131" s="172"/>
      <c r="B131" s="173"/>
      <c r="C131" s="174" t="s">
        <v>240</v>
      </c>
      <c r="D131" s="175"/>
      <c r="E131" s="176"/>
      <c r="F131" s="196"/>
      <c r="G131" s="169"/>
      <c r="H131" s="169"/>
      <c r="I131" s="169"/>
      <c r="J131" s="169"/>
      <c r="K131" s="169"/>
      <c r="L131" s="169"/>
      <c r="M131" s="169"/>
      <c r="N131" s="170"/>
      <c r="O131" s="170"/>
      <c r="P131" s="170"/>
      <c r="Q131" s="170"/>
      <c r="R131" s="169"/>
      <c r="S131" s="169"/>
      <c r="T131" s="169"/>
      <c r="U131" s="169"/>
      <c r="V131" s="169"/>
      <c r="W131" s="169"/>
      <c r="X131" s="169"/>
      <c r="Y131" s="169"/>
      <c r="Z131" s="171"/>
      <c r="AA131" s="171"/>
      <c r="AB131" s="171"/>
      <c r="AC131" s="171"/>
      <c r="AD131" s="171"/>
      <c r="AE131" s="171"/>
      <c r="AF131" s="171"/>
      <c r="AG131" s="171" t="s">
        <v>148</v>
      </c>
      <c r="AH131" s="171">
        <v>0</v>
      </c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</row>
    <row r="132" spans="1:60" outlineLevel="3" x14ac:dyDescent="0.2">
      <c r="A132" s="172"/>
      <c r="B132" s="173"/>
      <c r="C132" s="174" t="s">
        <v>241</v>
      </c>
      <c r="D132" s="175"/>
      <c r="E132" s="176">
        <v>59.564999999999998</v>
      </c>
      <c r="F132" s="196"/>
      <c r="G132" s="169"/>
      <c r="H132" s="169"/>
      <c r="I132" s="169"/>
      <c r="J132" s="169"/>
      <c r="K132" s="169"/>
      <c r="L132" s="169"/>
      <c r="M132" s="169"/>
      <c r="N132" s="170"/>
      <c r="O132" s="170"/>
      <c r="P132" s="170"/>
      <c r="Q132" s="170"/>
      <c r="R132" s="169"/>
      <c r="S132" s="169"/>
      <c r="T132" s="169"/>
      <c r="U132" s="169"/>
      <c r="V132" s="169"/>
      <c r="W132" s="169"/>
      <c r="X132" s="169"/>
      <c r="Y132" s="169"/>
      <c r="Z132" s="171"/>
      <c r="AA132" s="171"/>
      <c r="AB132" s="171"/>
      <c r="AC132" s="171"/>
      <c r="AD132" s="171"/>
      <c r="AE132" s="171"/>
      <c r="AF132" s="171"/>
      <c r="AG132" s="171" t="s">
        <v>148</v>
      </c>
      <c r="AH132" s="171">
        <v>0</v>
      </c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</row>
    <row r="133" spans="1:60" outlineLevel="1" x14ac:dyDescent="0.2">
      <c r="A133" s="177">
        <v>16</v>
      </c>
      <c r="B133" s="178" t="s">
        <v>242</v>
      </c>
      <c r="C133" s="179" t="s">
        <v>243</v>
      </c>
      <c r="D133" s="180" t="s">
        <v>159</v>
      </c>
      <c r="E133" s="181">
        <v>629.89919999999995</v>
      </c>
      <c r="F133" s="141"/>
      <c r="G133" s="182">
        <f>ROUND(E133*F133,2)</f>
        <v>0</v>
      </c>
      <c r="H133" s="168"/>
      <c r="I133" s="169">
        <f>ROUND(E133*H133,2)</f>
        <v>0</v>
      </c>
      <c r="J133" s="168"/>
      <c r="K133" s="169">
        <f>ROUND(E133*J133,2)</f>
        <v>0</v>
      </c>
      <c r="L133" s="169">
        <v>21</v>
      </c>
      <c r="M133" s="169">
        <f>G133*(1+L133/100)</f>
        <v>0</v>
      </c>
      <c r="N133" s="170">
        <v>1.5740000000000001E-2</v>
      </c>
      <c r="O133" s="170">
        <f>ROUND(E133*N133,2)</f>
        <v>9.91</v>
      </c>
      <c r="P133" s="170">
        <v>0</v>
      </c>
      <c r="Q133" s="170">
        <f>ROUND(E133*P133,2)</f>
        <v>0</v>
      </c>
      <c r="R133" s="169"/>
      <c r="S133" s="169" t="s">
        <v>143</v>
      </c>
      <c r="T133" s="169" t="s">
        <v>143</v>
      </c>
      <c r="U133" s="169">
        <v>0.33481</v>
      </c>
      <c r="V133" s="169">
        <f>ROUND(E133*U133,2)</f>
        <v>210.9</v>
      </c>
      <c r="W133" s="169"/>
      <c r="X133" s="169" t="s">
        <v>144</v>
      </c>
      <c r="Y133" s="169" t="s">
        <v>145</v>
      </c>
      <c r="Z133" s="171"/>
      <c r="AA133" s="171"/>
      <c r="AB133" s="171"/>
      <c r="AC133" s="171"/>
      <c r="AD133" s="171"/>
      <c r="AE133" s="171"/>
      <c r="AF133" s="171"/>
      <c r="AG133" s="171" t="s">
        <v>146</v>
      </c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</row>
    <row r="134" spans="1:60" outlineLevel="1" x14ac:dyDescent="0.2">
      <c r="A134" s="162">
        <v>17</v>
      </c>
      <c r="B134" s="163" t="s">
        <v>244</v>
      </c>
      <c r="C134" s="164" t="s">
        <v>245</v>
      </c>
      <c r="D134" s="165" t="s">
        <v>159</v>
      </c>
      <c r="E134" s="166">
        <v>222.7193</v>
      </c>
      <c r="F134" s="140"/>
      <c r="G134" s="167">
        <f>ROUND(E134*F134,2)</f>
        <v>0</v>
      </c>
      <c r="H134" s="168"/>
      <c r="I134" s="169">
        <f>ROUND(E134*H134,2)</f>
        <v>0</v>
      </c>
      <c r="J134" s="168"/>
      <c r="K134" s="169">
        <f>ROUND(E134*J134,2)</f>
        <v>0</v>
      </c>
      <c r="L134" s="169">
        <v>21</v>
      </c>
      <c r="M134" s="169">
        <f>G134*(1+L134/100)</f>
        <v>0</v>
      </c>
      <c r="N134" s="170">
        <v>4.5580000000000002E-2</v>
      </c>
      <c r="O134" s="170">
        <f>ROUND(E134*N134,2)</f>
        <v>10.15</v>
      </c>
      <c r="P134" s="170">
        <v>0</v>
      </c>
      <c r="Q134" s="170">
        <f>ROUND(E134*P134,2)</f>
        <v>0</v>
      </c>
      <c r="R134" s="169"/>
      <c r="S134" s="169" t="s">
        <v>143</v>
      </c>
      <c r="T134" s="169" t="s">
        <v>143</v>
      </c>
      <c r="U134" s="169">
        <v>0.60799999999999998</v>
      </c>
      <c r="V134" s="169">
        <f>ROUND(E134*U134,2)</f>
        <v>135.41</v>
      </c>
      <c r="W134" s="169"/>
      <c r="X134" s="169" t="s">
        <v>144</v>
      </c>
      <c r="Y134" s="169" t="s">
        <v>145</v>
      </c>
      <c r="Z134" s="171"/>
      <c r="AA134" s="171"/>
      <c r="AB134" s="171"/>
      <c r="AC134" s="171"/>
      <c r="AD134" s="171"/>
      <c r="AE134" s="171"/>
      <c r="AF134" s="171"/>
      <c r="AG134" s="171" t="s">
        <v>146</v>
      </c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</row>
    <row r="135" spans="1:60" outlineLevel="2" x14ac:dyDescent="0.2">
      <c r="A135" s="172"/>
      <c r="B135" s="173"/>
      <c r="C135" s="174" t="s">
        <v>149</v>
      </c>
      <c r="D135" s="175"/>
      <c r="E135" s="176"/>
      <c r="F135" s="196"/>
      <c r="G135" s="169"/>
      <c r="H135" s="169"/>
      <c r="I135" s="169"/>
      <c r="J135" s="169"/>
      <c r="K135" s="169"/>
      <c r="L135" s="169"/>
      <c r="M135" s="169"/>
      <c r="N135" s="170"/>
      <c r="O135" s="170"/>
      <c r="P135" s="170"/>
      <c r="Q135" s="170"/>
      <c r="R135" s="169"/>
      <c r="S135" s="169"/>
      <c r="T135" s="169"/>
      <c r="U135" s="169"/>
      <c r="V135" s="169"/>
      <c r="W135" s="169"/>
      <c r="X135" s="169"/>
      <c r="Y135" s="169"/>
      <c r="Z135" s="171"/>
      <c r="AA135" s="171"/>
      <c r="AB135" s="171"/>
      <c r="AC135" s="171"/>
      <c r="AD135" s="171"/>
      <c r="AE135" s="171"/>
      <c r="AF135" s="171"/>
      <c r="AG135" s="171" t="s">
        <v>148</v>
      </c>
      <c r="AH135" s="171">
        <v>0</v>
      </c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</row>
    <row r="136" spans="1:60" outlineLevel="3" x14ac:dyDescent="0.2">
      <c r="A136" s="172"/>
      <c r="B136" s="173"/>
      <c r="C136" s="174" t="s">
        <v>246</v>
      </c>
      <c r="D136" s="175"/>
      <c r="E136" s="176">
        <v>9.44</v>
      </c>
      <c r="F136" s="196"/>
      <c r="G136" s="169"/>
      <c r="H136" s="169"/>
      <c r="I136" s="169"/>
      <c r="J136" s="169"/>
      <c r="K136" s="169"/>
      <c r="L136" s="169"/>
      <c r="M136" s="169"/>
      <c r="N136" s="170"/>
      <c r="O136" s="170"/>
      <c r="P136" s="170"/>
      <c r="Q136" s="170"/>
      <c r="R136" s="169"/>
      <c r="S136" s="169"/>
      <c r="T136" s="169"/>
      <c r="U136" s="169"/>
      <c r="V136" s="169"/>
      <c r="W136" s="169"/>
      <c r="X136" s="169"/>
      <c r="Y136" s="169"/>
      <c r="Z136" s="171"/>
      <c r="AA136" s="171"/>
      <c r="AB136" s="171"/>
      <c r="AC136" s="171"/>
      <c r="AD136" s="171"/>
      <c r="AE136" s="171"/>
      <c r="AF136" s="171"/>
      <c r="AG136" s="171" t="s">
        <v>148</v>
      </c>
      <c r="AH136" s="171">
        <v>0</v>
      </c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</row>
    <row r="137" spans="1:60" outlineLevel="3" x14ac:dyDescent="0.2">
      <c r="A137" s="172"/>
      <c r="B137" s="173"/>
      <c r="C137" s="174" t="s">
        <v>247</v>
      </c>
      <c r="D137" s="175"/>
      <c r="E137" s="176">
        <v>7.4390999999999998</v>
      </c>
      <c r="F137" s="196"/>
      <c r="G137" s="169"/>
      <c r="H137" s="169"/>
      <c r="I137" s="169"/>
      <c r="J137" s="169"/>
      <c r="K137" s="169"/>
      <c r="L137" s="169"/>
      <c r="M137" s="169"/>
      <c r="N137" s="170"/>
      <c r="O137" s="170"/>
      <c r="P137" s="170"/>
      <c r="Q137" s="170"/>
      <c r="R137" s="169"/>
      <c r="S137" s="169"/>
      <c r="T137" s="169"/>
      <c r="U137" s="169"/>
      <c r="V137" s="169"/>
      <c r="W137" s="169"/>
      <c r="X137" s="169"/>
      <c r="Y137" s="169"/>
      <c r="Z137" s="171"/>
      <c r="AA137" s="171"/>
      <c r="AB137" s="171"/>
      <c r="AC137" s="171"/>
      <c r="AD137" s="171"/>
      <c r="AE137" s="171"/>
      <c r="AF137" s="171"/>
      <c r="AG137" s="171" t="s">
        <v>148</v>
      </c>
      <c r="AH137" s="171">
        <v>0</v>
      </c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</row>
    <row r="138" spans="1:60" outlineLevel="3" x14ac:dyDescent="0.2">
      <c r="A138" s="172"/>
      <c r="B138" s="173"/>
      <c r="C138" s="174" t="s">
        <v>248</v>
      </c>
      <c r="D138" s="175"/>
      <c r="E138" s="176">
        <v>9.76</v>
      </c>
      <c r="F138" s="196"/>
      <c r="G138" s="169"/>
      <c r="H138" s="169"/>
      <c r="I138" s="169"/>
      <c r="J138" s="169"/>
      <c r="K138" s="169"/>
      <c r="L138" s="169"/>
      <c r="M138" s="169"/>
      <c r="N138" s="170"/>
      <c r="O138" s="170"/>
      <c r="P138" s="170"/>
      <c r="Q138" s="170"/>
      <c r="R138" s="169"/>
      <c r="S138" s="169"/>
      <c r="T138" s="169"/>
      <c r="U138" s="169"/>
      <c r="V138" s="169"/>
      <c r="W138" s="169"/>
      <c r="X138" s="169"/>
      <c r="Y138" s="169"/>
      <c r="Z138" s="171"/>
      <c r="AA138" s="171"/>
      <c r="AB138" s="171"/>
      <c r="AC138" s="171"/>
      <c r="AD138" s="171"/>
      <c r="AE138" s="171"/>
      <c r="AF138" s="171"/>
      <c r="AG138" s="171" t="s">
        <v>148</v>
      </c>
      <c r="AH138" s="171">
        <v>0</v>
      </c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</row>
    <row r="139" spans="1:60" outlineLevel="3" x14ac:dyDescent="0.2">
      <c r="A139" s="172"/>
      <c r="B139" s="173"/>
      <c r="C139" s="174" t="s">
        <v>249</v>
      </c>
      <c r="D139" s="175"/>
      <c r="E139" s="176">
        <v>13.023999999999999</v>
      </c>
      <c r="F139" s="196"/>
      <c r="G139" s="169"/>
      <c r="H139" s="169"/>
      <c r="I139" s="169"/>
      <c r="J139" s="169"/>
      <c r="K139" s="169"/>
      <c r="L139" s="169"/>
      <c r="M139" s="169"/>
      <c r="N139" s="170"/>
      <c r="O139" s="170"/>
      <c r="P139" s="170"/>
      <c r="Q139" s="170"/>
      <c r="R139" s="169"/>
      <c r="S139" s="169"/>
      <c r="T139" s="169"/>
      <c r="U139" s="169"/>
      <c r="V139" s="169"/>
      <c r="W139" s="169"/>
      <c r="X139" s="169"/>
      <c r="Y139" s="169"/>
      <c r="Z139" s="171"/>
      <c r="AA139" s="171"/>
      <c r="AB139" s="171"/>
      <c r="AC139" s="171"/>
      <c r="AD139" s="171"/>
      <c r="AE139" s="171"/>
      <c r="AF139" s="171"/>
      <c r="AG139" s="171" t="s">
        <v>148</v>
      </c>
      <c r="AH139" s="171">
        <v>0</v>
      </c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</row>
    <row r="140" spans="1:60" outlineLevel="3" x14ac:dyDescent="0.2">
      <c r="A140" s="172"/>
      <c r="B140" s="173"/>
      <c r="C140" s="174" t="s">
        <v>250</v>
      </c>
      <c r="D140" s="175"/>
      <c r="E140" s="176">
        <v>7.2484999999999999</v>
      </c>
      <c r="F140" s="196"/>
      <c r="G140" s="169"/>
      <c r="H140" s="169"/>
      <c r="I140" s="169"/>
      <c r="J140" s="169"/>
      <c r="K140" s="169"/>
      <c r="L140" s="169"/>
      <c r="M140" s="169"/>
      <c r="N140" s="170"/>
      <c r="O140" s="170"/>
      <c r="P140" s="170"/>
      <c r="Q140" s="170"/>
      <c r="R140" s="169"/>
      <c r="S140" s="169"/>
      <c r="T140" s="169"/>
      <c r="U140" s="169"/>
      <c r="V140" s="169"/>
      <c r="W140" s="169"/>
      <c r="X140" s="169"/>
      <c r="Y140" s="169"/>
      <c r="Z140" s="171"/>
      <c r="AA140" s="171"/>
      <c r="AB140" s="171"/>
      <c r="AC140" s="171"/>
      <c r="AD140" s="171"/>
      <c r="AE140" s="171"/>
      <c r="AF140" s="171"/>
      <c r="AG140" s="171" t="s">
        <v>148</v>
      </c>
      <c r="AH140" s="171">
        <v>0</v>
      </c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</row>
    <row r="141" spans="1:60" outlineLevel="3" x14ac:dyDescent="0.2">
      <c r="A141" s="172"/>
      <c r="B141" s="173"/>
      <c r="C141" s="174" t="s">
        <v>251</v>
      </c>
      <c r="D141" s="175"/>
      <c r="E141" s="176">
        <v>13.087999999999999</v>
      </c>
      <c r="F141" s="196"/>
      <c r="G141" s="169"/>
      <c r="H141" s="169"/>
      <c r="I141" s="169"/>
      <c r="J141" s="169"/>
      <c r="K141" s="169"/>
      <c r="L141" s="169"/>
      <c r="M141" s="169"/>
      <c r="N141" s="170"/>
      <c r="O141" s="170"/>
      <c r="P141" s="170"/>
      <c r="Q141" s="170"/>
      <c r="R141" s="169"/>
      <c r="S141" s="169"/>
      <c r="T141" s="169"/>
      <c r="U141" s="169"/>
      <c r="V141" s="169"/>
      <c r="W141" s="169"/>
      <c r="X141" s="169"/>
      <c r="Y141" s="169"/>
      <c r="Z141" s="171"/>
      <c r="AA141" s="171"/>
      <c r="AB141" s="171"/>
      <c r="AC141" s="171"/>
      <c r="AD141" s="171"/>
      <c r="AE141" s="171"/>
      <c r="AF141" s="171"/>
      <c r="AG141" s="171" t="s">
        <v>148</v>
      </c>
      <c r="AH141" s="171">
        <v>0</v>
      </c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</row>
    <row r="142" spans="1:60" outlineLevel="3" x14ac:dyDescent="0.2">
      <c r="A142" s="172"/>
      <c r="B142" s="173"/>
      <c r="C142" s="174" t="s">
        <v>252</v>
      </c>
      <c r="D142" s="175"/>
      <c r="E142" s="176">
        <v>8.6720000000000006</v>
      </c>
      <c r="F142" s="196"/>
      <c r="G142" s="169"/>
      <c r="H142" s="169"/>
      <c r="I142" s="169"/>
      <c r="J142" s="169"/>
      <c r="K142" s="169"/>
      <c r="L142" s="169"/>
      <c r="M142" s="169"/>
      <c r="N142" s="170"/>
      <c r="O142" s="170"/>
      <c r="P142" s="170"/>
      <c r="Q142" s="170"/>
      <c r="R142" s="169"/>
      <c r="S142" s="169"/>
      <c r="T142" s="169"/>
      <c r="U142" s="169"/>
      <c r="V142" s="169"/>
      <c r="W142" s="169"/>
      <c r="X142" s="169"/>
      <c r="Y142" s="169"/>
      <c r="Z142" s="171"/>
      <c r="AA142" s="171"/>
      <c r="AB142" s="171"/>
      <c r="AC142" s="171"/>
      <c r="AD142" s="171"/>
      <c r="AE142" s="171"/>
      <c r="AF142" s="171"/>
      <c r="AG142" s="171" t="s">
        <v>148</v>
      </c>
      <c r="AH142" s="171">
        <v>0</v>
      </c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</row>
    <row r="143" spans="1:60" outlineLevel="3" x14ac:dyDescent="0.2">
      <c r="A143" s="172"/>
      <c r="B143" s="173"/>
      <c r="C143" s="174" t="s">
        <v>253</v>
      </c>
      <c r="D143" s="175"/>
      <c r="E143" s="176">
        <v>7.1680000000000001</v>
      </c>
      <c r="F143" s="196"/>
      <c r="G143" s="169"/>
      <c r="H143" s="169"/>
      <c r="I143" s="169"/>
      <c r="J143" s="169"/>
      <c r="K143" s="169"/>
      <c r="L143" s="169"/>
      <c r="M143" s="169"/>
      <c r="N143" s="170"/>
      <c r="O143" s="170"/>
      <c r="P143" s="170"/>
      <c r="Q143" s="170"/>
      <c r="R143" s="169"/>
      <c r="S143" s="169"/>
      <c r="T143" s="169"/>
      <c r="U143" s="169"/>
      <c r="V143" s="169"/>
      <c r="W143" s="169"/>
      <c r="X143" s="169"/>
      <c r="Y143" s="169"/>
      <c r="Z143" s="171"/>
      <c r="AA143" s="171"/>
      <c r="AB143" s="171"/>
      <c r="AC143" s="171"/>
      <c r="AD143" s="171"/>
      <c r="AE143" s="171"/>
      <c r="AF143" s="171"/>
      <c r="AG143" s="171" t="s">
        <v>148</v>
      </c>
      <c r="AH143" s="171">
        <v>0</v>
      </c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</row>
    <row r="144" spans="1:60" outlineLevel="3" x14ac:dyDescent="0.2">
      <c r="A144" s="172"/>
      <c r="B144" s="173"/>
      <c r="C144" s="174" t="s">
        <v>151</v>
      </c>
      <c r="D144" s="175"/>
      <c r="E144" s="176"/>
      <c r="F144" s="196"/>
      <c r="G144" s="169"/>
      <c r="H144" s="169"/>
      <c r="I144" s="169"/>
      <c r="J144" s="169"/>
      <c r="K144" s="169"/>
      <c r="L144" s="169"/>
      <c r="M144" s="169"/>
      <c r="N144" s="170"/>
      <c r="O144" s="170"/>
      <c r="P144" s="170"/>
      <c r="Q144" s="170"/>
      <c r="R144" s="169"/>
      <c r="S144" s="169"/>
      <c r="T144" s="169"/>
      <c r="U144" s="169"/>
      <c r="V144" s="169"/>
      <c r="W144" s="169"/>
      <c r="X144" s="169"/>
      <c r="Y144" s="169"/>
      <c r="Z144" s="171"/>
      <c r="AA144" s="171"/>
      <c r="AB144" s="171"/>
      <c r="AC144" s="171"/>
      <c r="AD144" s="171"/>
      <c r="AE144" s="171"/>
      <c r="AF144" s="171"/>
      <c r="AG144" s="171" t="s">
        <v>148</v>
      </c>
      <c r="AH144" s="171">
        <v>0</v>
      </c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</row>
    <row r="145" spans="1:60" outlineLevel="3" x14ac:dyDescent="0.2">
      <c r="A145" s="172"/>
      <c r="B145" s="173"/>
      <c r="C145" s="174" t="s">
        <v>254</v>
      </c>
      <c r="D145" s="175"/>
      <c r="E145" s="176">
        <v>9.44</v>
      </c>
      <c r="F145" s="196"/>
      <c r="G145" s="169"/>
      <c r="H145" s="169"/>
      <c r="I145" s="169"/>
      <c r="J145" s="169"/>
      <c r="K145" s="169"/>
      <c r="L145" s="169"/>
      <c r="M145" s="169"/>
      <c r="N145" s="170"/>
      <c r="O145" s="170"/>
      <c r="P145" s="170"/>
      <c r="Q145" s="170"/>
      <c r="R145" s="169"/>
      <c r="S145" s="169"/>
      <c r="T145" s="169"/>
      <c r="U145" s="169"/>
      <c r="V145" s="169"/>
      <c r="W145" s="169"/>
      <c r="X145" s="169"/>
      <c r="Y145" s="169"/>
      <c r="Z145" s="171"/>
      <c r="AA145" s="171"/>
      <c r="AB145" s="171"/>
      <c r="AC145" s="171"/>
      <c r="AD145" s="171"/>
      <c r="AE145" s="171"/>
      <c r="AF145" s="171"/>
      <c r="AG145" s="171" t="s">
        <v>148</v>
      </c>
      <c r="AH145" s="171">
        <v>0</v>
      </c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</row>
    <row r="146" spans="1:60" outlineLevel="3" x14ac:dyDescent="0.2">
      <c r="A146" s="172"/>
      <c r="B146" s="173"/>
      <c r="C146" s="174" t="s">
        <v>255</v>
      </c>
      <c r="D146" s="175"/>
      <c r="E146" s="176">
        <v>7.0103</v>
      </c>
      <c r="F146" s="196"/>
      <c r="G146" s="169"/>
      <c r="H146" s="169"/>
      <c r="I146" s="169"/>
      <c r="J146" s="169"/>
      <c r="K146" s="169"/>
      <c r="L146" s="169"/>
      <c r="M146" s="169"/>
      <c r="N146" s="170"/>
      <c r="O146" s="170"/>
      <c r="P146" s="170"/>
      <c r="Q146" s="170"/>
      <c r="R146" s="169"/>
      <c r="S146" s="169"/>
      <c r="T146" s="169"/>
      <c r="U146" s="169"/>
      <c r="V146" s="169"/>
      <c r="W146" s="169"/>
      <c r="X146" s="169"/>
      <c r="Y146" s="169"/>
      <c r="Z146" s="171"/>
      <c r="AA146" s="171"/>
      <c r="AB146" s="171"/>
      <c r="AC146" s="171"/>
      <c r="AD146" s="171"/>
      <c r="AE146" s="171"/>
      <c r="AF146" s="171"/>
      <c r="AG146" s="171" t="s">
        <v>148</v>
      </c>
      <c r="AH146" s="171">
        <v>0</v>
      </c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</row>
    <row r="147" spans="1:60" outlineLevel="3" x14ac:dyDescent="0.2">
      <c r="A147" s="172"/>
      <c r="B147" s="173"/>
      <c r="C147" s="174" t="s">
        <v>256</v>
      </c>
      <c r="D147" s="175"/>
      <c r="E147" s="176">
        <v>9.6639999999999997</v>
      </c>
      <c r="F147" s="196"/>
      <c r="G147" s="169"/>
      <c r="H147" s="169"/>
      <c r="I147" s="169"/>
      <c r="J147" s="169"/>
      <c r="K147" s="169"/>
      <c r="L147" s="169"/>
      <c r="M147" s="169"/>
      <c r="N147" s="170"/>
      <c r="O147" s="170"/>
      <c r="P147" s="170"/>
      <c r="Q147" s="170"/>
      <c r="R147" s="169"/>
      <c r="S147" s="169"/>
      <c r="T147" s="169"/>
      <c r="U147" s="169"/>
      <c r="V147" s="169"/>
      <c r="W147" s="169"/>
      <c r="X147" s="169"/>
      <c r="Y147" s="169"/>
      <c r="Z147" s="171"/>
      <c r="AA147" s="171"/>
      <c r="AB147" s="171"/>
      <c r="AC147" s="171"/>
      <c r="AD147" s="171"/>
      <c r="AE147" s="171"/>
      <c r="AF147" s="171"/>
      <c r="AG147" s="171" t="s">
        <v>148</v>
      </c>
      <c r="AH147" s="171">
        <v>0</v>
      </c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</row>
    <row r="148" spans="1:60" outlineLevel="3" x14ac:dyDescent="0.2">
      <c r="A148" s="172"/>
      <c r="B148" s="173"/>
      <c r="C148" s="174" t="s">
        <v>257</v>
      </c>
      <c r="D148" s="175"/>
      <c r="E148" s="176">
        <v>7.1620999999999997</v>
      </c>
      <c r="F148" s="196"/>
      <c r="G148" s="169"/>
      <c r="H148" s="169"/>
      <c r="I148" s="169"/>
      <c r="J148" s="169"/>
      <c r="K148" s="169"/>
      <c r="L148" s="169"/>
      <c r="M148" s="169"/>
      <c r="N148" s="170"/>
      <c r="O148" s="170"/>
      <c r="P148" s="170"/>
      <c r="Q148" s="170"/>
      <c r="R148" s="169"/>
      <c r="S148" s="169"/>
      <c r="T148" s="169"/>
      <c r="U148" s="169"/>
      <c r="V148" s="169"/>
      <c r="W148" s="169"/>
      <c r="X148" s="169"/>
      <c r="Y148" s="169"/>
      <c r="Z148" s="171"/>
      <c r="AA148" s="171"/>
      <c r="AB148" s="171"/>
      <c r="AC148" s="171"/>
      <c r="AD148" s="171"/>
      <c r="AE148" s="171"/>
      <c r="AF148" s="171"/>
      <c r="AG148" s="171" t="s">
        <v>148</v>
      </c>
      <c r="AH148" s="171">
        <v>0</v>
      </c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</row>
    <row r="149" spans="1:60" outlineLevel="3" x14ac:dyDescent="0.2">
      <c r="A149" s="172"/>
      <c r="B149" s="173"/>
      <c r="C149" s="174" t="s">
        <v>258</v>
      </c>
      <c r="D149" s="175"/>
      <c r="E149" s="176">
        <v>12.864000000000001</v>
      </c>
      <c r="F149" s="196"/>
      <c r="G149" s="169"/>
      <c r="H149" s="169"/>
      <c r="I149" s="169"/>
      <c r="J149" s="169"/>
      <c r="K149" s="169"/>
      <c r="L149" s="169"/>
      <c r="M149" s="169"/>
      <c r="N149" s="170"/>
      <c r="O149" s="170"/>
      <c r="P149" s="170"/>
      <c r="Q149" s="170"/>
      <c r="R149" s="169"/>
      <c r="S149" s="169"/>
      <c r="T149" s="169"/>
      <c r="U149" s="169"/>
      <c r="V149" s="169"/>
      <c r="W149" s="169"/>
      <c r="X149" s="169"/>
      <c r="Y149" s="169"/>
      <c r="Z149" s="171"/>
      <c r="AA149" s="171"/>
      <c r="AB149" s="171"/>
      <c r="AC149" s="171"/>
      <c r="AD149" s="171"/>
      <c r="AE149" s="171"/>
      <c r="AF149" s="171"/>
      <c r="AG149" s="171" t="s">
        <v>148</v>
      </c>
      <c r="AH149" s="171">
        <v>0</v>
      </c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</row>
    <row r="150" spans="1:60" outlineLevel="3" x14ac:dyDescent="0.2">
      <c r="A150" s="172"/>
      <c r="B150" s="173"/>
      <c r="C150" s="174" t="s">
        <v>259</v>
      </c>
      <c r="D150" s="175"/>
      <c r="E150" s="176">
        <v>8.2560000000000002</v>
      </c>
      <c r="F150" s="196"/>
      <c r="G150" s="169"/>
      <c r="H150" s="169"/>
      <c r="I150" s="169"/>
      <c r="J150" s="169"/>
      <c r="K150" s="169"/>
      <c r="L150" s="169"/>
      <c r="M150" s="169"/>
      <c r="N150" s="170"/>
      <c r="O150" s="170"/>
      <c r="P150" s="170"/>
      <c r="Q150" s="170"/>
      <c r="R150" s="169"/>
      <c r="S150" s="169"/>
      <c r="T150" s="169"/>
      <c r="U150" s="169"/>
      <c r="V150" s="169"/>
      <c r="W150" s="169"/>
      <c r="X150" s="169"/>
      <c r="Y150" s="169"/>
      <c r="Z150" s="171"/>
      <c r="AA150" s="171"/>
      <c r="AB150" s="171"/>
      <c r="AC150" s="171"/>
      <c r="AD150" s="171"/>
      <c r="AE150" s="171"/>
      <c r="AF150" s="171"/>
      <c r="AG150" s="171" t="s">
        <v>148</v>
      </c>
      <c r="AH150" s="171">
        <v>0</v>
      </c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</row>
    <row r="151" spans="1:60" outlineLevel="3" x14ac:dyDescent="0.2">
      <c r="A151" s="172"/>
      <c r="B151" s="173"/>
      <c r="C151" s="174" t="s">
        <v>260</v>
      </c>
      <c r="D151" s="175"/>
      <c r="E151" s="176">
        <v>7.3280000000000003</v>
      </c>
      <c r="F151" s="196"/>
      <c r="G151" s="169"/>
      <c r="H151" s="169"/>
      <c r="I151" s="169"/>
      <c r="J151" s="169"/>
      <c r="K151" s="169"/>
      <c r="L151" s="169"/>
      <c r="M151" s="169"/>
      <c r="N151" s="170"/>
      <c r="O151" s="170"/>
      <c r="P151" s="170"/>
      <c r="Q151" s="170"/>
      <c r="R151" s="169"/>
      <c r="S151" s="169"/>
      <c r="T151" s="169"/>
      <c r="U151" s="169"/>
      <c r="V151" s="169"/>
      <c r="W151" s="169"/>
      <c r="X151" s="169"/>
      <c r="Y151" s="169"/>
      <c r="Z151" s="171"/>
      <c r="AA151" s="171"/>
      <c r="AB151" s="171"/>
      <c r="AC151" s="171"/>
      <c r="AD151" s="171"/>
      <c r="AE151" s="171"/>
      <c r="AF151" s="171"/>
      <c r="AG151" s="171" t="s">
        <v>148</v>
      </c>
      <c r="AH151" s="171">
        <v>0</v>
      </c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</row>
    <row r="152" spans="1:60" outlineLevel="3" x14ac:dyDescent="0.2">
      <c r="A152" s="172"/>
      <c r="B152" s="173"/>
      <c r="C152" s="174" t="s">
        <v>261</v>
      </c>
      <c r="D152" s="175"/>
      <c r="E152" s="176">
        <v>10.688000000000001</v>
      </c>
      <c r="F152" s="196"/>
      <c r="G152" s="169"/>
      <c r="H152" s="169"/>
      <c r="I152" s="169"/>
      <c r="J152" s="169"/>
      <c r="K152" s="169"/>
      <c r="L152" s="169"/>
      <c r="M152" s="169"/>
      <c r="N152" s="170"/>
      <c r="O152" s="170"/>
      <c r="P152" s="170"/>
      <c r="Q152" s="170"/>
      <c r="R152" s="169"/>
      <c r="S152" s="169"/>
      <c r="T152" s="169"/>
      <c r="U152" s="169"/>
      <c r="V152" s="169"/>
      <c r="W152" s="169"/>
      <c r="X152" s="169"/>
      <c r="Y152" s="169"/>
      <c r="Z152" s="171"/>
      <c r="AA152" s="171"/>
      <c r="AB152" s="171"/>
      <c r="AC152" s="171"/>
      <c r="AD152" s="171"/>
      <c r="AE152" s="171"/>
      <c r="AF152" s="171"/>
      <c r="AG152" s="171" t="s">
        <v>148</v>
      </c>
      <c r="AH152" s="171">
        <v>0</v>
      </c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</row>
    <row r="153" spans="1:60" outlineLevel="3" x14ac:dyDescent="0.2">
      <c r="A153" s="172"/>
      <c r="B153" s="173"/>
      <c r="C153" s="174" t="s">
        <v>152</v>
      </c>
      <c r="D153" s="175"/>
      <c r="E153" s="176"/>
      <c r="F153" s="196"/>
      <c r="G153" s="169"/>
      <c r="H153" s="169"/>
      <c r="I153" s="169"/>
      <c r="J153" s="169"/>
      <c r="K153" s="169"/>
      <c r="L153" s="169"/>
      <c r="M153" s="169"/>
      <c r="N153" s="170"/>
      <c r="O153" s="170"/>
      <c r="P153" s="170"/>
      <c r="Q153" s="170"/>
      <c r="R153" s="169"/>
      <c r="S153" s="169"/>
      <c r="T153" s="169"/>
      <c r="U153" s="169"/>
      <c r="V153" s="169"/>
      <c r="W153" s="169"/>
      <c r="X153" s="169"/>
      <c r="Y153" s="169"/>
      <c r="Z153" s="171"/>
      <c r="AA153" s="171"/>
      <c r="AB153" s="171"/>
      <c r="AC153" s="171"/>
      <c r="AD153" s="171"/>
      <c r="AE153" s="171"/>
      <c r="AF153" s="171"/>
      <c r="AG153" s="171" t="s">
        <v>148</v>
      </c>
      <c r="AH153" s="171">
        <v>0</v>
      </c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</row>
    <row r="154" spans="1:60" outlineLevel="3" x14ac:dyDescent="0.2">
      <c r="A154" s="172"/>
      <c r="B154" s="173"/>
      <c r="C154" s="174" t="s">
        <v>254</v>
      </c>
      <c r="D154" s="175"/>
      <c r="E154" s="176">
        <v>9.44</v>
      </c>
      <c r="F154" s="196"/>
      <c r="G154" s="169"/>
      <c r="H154" s="169"/>
      <c r="I154" s="169"/>
      <c r="J154" s="169"/>
      <c r="K154" s="169"/>
      <c r="L154" s="169"/>
      <c r="M154" s="169"/>
      <c r="N154" s="170"/>
      <c r="O154" s="170"/>
      <c r="P154" s="170"/>
      <c r="Q154" s="170"/>
      <c r="R154" s="169"/>
      <c r="S154" s="169"/>
      <c r="T154" s="169"/>
      <c r="U154" s="169"/>
      <c r="V154" s="169"/>
      <c r="W154" s="169"/>
      <c r="X154" s="169"/>
      <c r="Y154" s="169"/>
      <c r="Z154" s="171"/>
      <c r="AA154" s="171"/>
      <c r="AB154" s="171"/>
      <c r="AC154" s="171"/>
      <c r="AD154" s="171"/>
      <c r="AE154" s="171"/>
      <c r="AF154" s="171"/>
      <c r="AG154" s="171" t="s">
        <v>148</v>
      </c>
      <c r="AH154" s="171">
        <v>0</v>
      </c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</row>
    <row r="155" spans="1:60" outlineLevel="3" x14ac:dyDescent="0.2">
      <c r="A155" s="172"/>
      <c r="B155" s="173"/>
      <c r="C155" s="174" t="s">
        <v>262</v>
      </c>
      <c r="D155" s="175"/>
      <c r="E155" s="176">
        <v>6.976</v>
      </c>
      <c r="F155" s="196"/>
      <c r="G155" s="169"/>
      <c r="H155" s="169"/>
      <c r="I155" s="169"/>
      <c r="J155" s="169"/>
      <c r="K155" s="169"/>
      <c r="L155" s="169"/>
      <c r="M155" s="169"/>
      <c r="N155" s="170"/>
      <c r="O155" s="170"/>
      <c r="P155" s="170"/>
      <c r="Q155" s="170"/>
      <c r="R155" s="169"/>
      <c r="S155" s="169"/>
      <c r="T155" s="169"/>
      <c r="U155" s="169"/>
      <c r="V155" s="169"/>
      <c r="W155" s="169"/>
      <c r="X155" s="169"/>
      <c r="Y155" s="169"/>
      <c r="Z155" s="171"/>
      <c r="AA155" s="171"/>
      <c r="AB155" s="171"/>
      <c r="AC155" s="171"/>
      <c r="AD155" s="171"/>
      <c r="AE155" s="171"/>
      <c r="AF155" s="171"/>
      <c r="AG155" s="171" t="s">
        <v>148</v>
      </c>
      <c r="AH155" s="171">
        <v>0</v>
      </c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</row>
    <row r="156" spans="1:60" outlineLevel="3" x14ac:dyDescent="0.2">
      <c r="A156" s="172"/>
      <c r="B156" s="173"/>
      <c r="C156" s="174" t="s">
        <v>263</v>
      </c>
      <c r="D156" s="175"/>
      <c r="E156" s="176">
        <v>9.8879999999999999</v>
      </c>
      <c r="F156" s="196"/>
      <c r="G156" s="169"/>
      <c r="H156" s="169"/>
      <c r="I156" s="169"/>
      <c r="J156" s="169"/>
      <c r="K156" s="169"/>
      <c r="L156" s="169"/>
      <c r="M156" s="169"/>
      <c r="N156" s="170"/>
      <c r="O156" s="170"/>
      <c r="P156" s="170"/>
      <c r="Q156" s="170"/>
      <c r="R156" s="169"/>
      <c r="S156" s="169"/>
      <c r="T156" s="169"/>
      <c r="U156" s="169"/>
      <c r="V156" s="169"/>
      <c r="W156" s="169"/>
      <c r="X156" s="169"/>
      <c r="Y156" s="169"/>
      <c r="Z156" s="171"/>
      <c r="AA156" s="171"/>
      <c r="AB156" s="171"/>
      <c r="AC156" s="171"/>
      <c r="AD156" s="171"/>
      <c r="AE156" s="171"/>
      <c r="AF156" s="171"/>
      <c r="AG156" s="171" t="s">
        <v>148</v>
      </c>
      <c r="AH156" s="171">
        <v>0</v>
      </c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</row>
    <row r="157" spans="1:60" outlineLevel="3" x14ac:dyDescent="0.2">
      <c r="A157" s="172"/>
      <c r="B157" s="173"/>
      <c r="C157" s="174" t="s">
        <v>264</v>
      </c>
      <c r="D157" s="175"/>
      <c r="E157" s="176">
        <v>7.4272999999999998</v>
      </c>
      <c r="F157" s="196"/>
      <c r="G157" s="169"/>
      <c r="H157" s="169"/>
      <c r="I157" s="169"/>
      <c r="J157" s="169"/>
      <c r="K157" s="169"/>
      <c r="L157" s="169"/>
      <c r="M157" s="169"/>
      <c r="N157" s="170"/>
      <c r="O157" s="170"/>
      <c r="P157" s="170"/>
      <c r="Q157" s="170"/>
      <c r="R157" s="169"/>
      <c r="S157" s="169"/>
      <c r="T157" s="169"/>
      <c r="U157" s="169"/>
      <c r="V157" s="169"/>
      <c r="W157" s="169"/>
      <c r="X157" s="169"/>
      <c r="Y157" s="169"/>
      <c r="Z157" s="171"/>
      <c r="AA157" s="171"/>
      <c r="AB157" s="171"/>
      <c r="AC157" s="171"/>
      <c r="AD157" s="171"/>
      <c r="AE157" s="171"/>
      <c r="AF157" s="171"/>
      <c r="AG157" s="171" t="s">
        <v>148</v>
      </c>
      <c r="AH157" s="171">
        <v>0</v>
      </c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</row>
    <row r="158" spans="1:60" outlineLevel="3" x14ac:dyDescent="0.2">
      <c r="A158" s="172"/>
      <c r="B158" s="173"/>
      <c r="C158" s="174" t="s">
        <v>265</v>
      </c>
      <c r="D158" s="175"/>
      <c r="E158" s="176">
        <v>12.672000000000001</v>
      </c>
      <c r="F158" s="196"/>
      <c r="G158" s="169"/>
      <c r="H158" s="169"/>
      <c r="I158" s="169"/>
      <c r="J158" s="169"/>
      <c r="K158" s="169"/>
      <c r="L158" s="169"/>
      <c r="M158" s="169"/>
      <c r="N158" s="170"/>
      <c r="O158" s="170"/>
      <c r="P158" s="170"/>
      <c r="Q158" s="170"/>
      <c r="R158" s="169"/>
      <c r="S158" s="169"/>
      <c r="T158" s="169"/>
      <c r="U158" s="169"/>
      <c r="V158" s="169"/>
      <c r="W158" s="169"/>
      <c r="X158" s="169"/>
      <c r="Y158" s="169"/>
      <c r="Z158" s="171"/>
      <c r="AA158" s="171"/>
      <c r="AB158" s="171"/>
      <c r="AC158" s="171"/>
      <c r="AD158" s="171"/>
      <c r="AE158" s="171"/>
      <c r="AF158" s="171"/>
      <c r="AG158" s="171" t="s">
        <v>148</v>
      </c>
      <c r="AH158" s="171">
        <v>0</v>
      </c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</row>
    <row r="159" spans="1:60" outlineLevel="3" x14ac:dyDescent="0.2">
      <c r="A159" s="172"/>
      <c r="B159" s="173"/>
      <c r="C159" s="174" t="s">
        <v>266</v>
      </c>
      <c r="D159" s="175"/>
      <c r="E159" s="176">
        <v>8.8000000000000007</v>
      </c>
      <c r="F159" s="196"/>
      <c r="G159" s="169"/>
      <c r="H159" s="169"/>
      <c r="I159" s="169"/>
      <c r="J159" s="169"/>
      <c r="K159" s="169"/>
      <c r="L159" s="169"/>
      <c r="M159" s="169"/>
      <c r="N159" s="170"/>
      <c r="O159" s="170"/>
      <c r="P159" s="170"/>
      <c r="Q159" s="170"/>
      <c r="R159" s="169"/>
      <c r="S159" s="169"/>
      <c r="T159" s="169"/>
      <c r="U159" s="169"/>
      <c r="V159" s="169"/>
      <c r="W159" s="169"/>
      <c r="X159" s="169"/>
      <c r="Y159" s="169"/>
      <c r="Z159" s="171"/>
      <c r="AA159" s="171"/>
      <c r="AB159" s="171"/>
      <c r="AC159" s="171"/>
      <c r="AD159" s="171"/>
      <c r="AE159" s="171"/>
      <c r="AF159" s="171"/>
      <c r="AG159" s="171" t="s">
        <v>148</v>
      </c>
      <c r="AH159" s="171">
        <v>0</v>
      </c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</row>
    <row r="160" spans="1:60" outlineLevel="3" x14ac:dyDescent="0.2">
      <c r="A160" s="172"/>
      <c r="B160" s="173"/>
      <c r="C160" s="174" t="s">
        <v>267</v>
      </c>
      <c r="D160" s="175"/>
      <c r="E160" s="176">
        <v>7.5839999999999996</v>
      </c>
      <c r="F160" s="196"/>
      <c r="G160" s="169"/>
      <c r="H160" s="169"/>
      <c r="I160" s="169"/>
      <c r="J160" s="169"/>
      <c r="K160" s="169"/>
      <c r="L160" s="169"/>
      <c r="M160" s="169"/>
      <c r="N160" s="170"/>
      <c r="O160" s="170"/>
      <c r="P160" s="170"/>
      <c r="Q160" s="170"/>
      <c r="R160" s="169"/>
      <c r="S160" s="169"/>
      <c r="T160" s="169"/>
      <c r="U160" s="169"/>
      <c r="V160" s="169"/>
      <c r="W160" s="169"/>
      <c r="X160" s="169"/>
      <c r="Y160" s="169"/>
      <c r="Z160" s="171"/>
      <c r="AA160" s="171"/>
      <c r="AB160" s="171"/>
      <c r="AC160" s="171"/>
      <c r="AD160" s="171"/>
      <c r="AE160" s="171"/>
      <c r="AF160" s="171"/>
      <c r="AG160" s="171" t="s">
        <v>148</v>
      </c>
      <c r="AH160" s="171">
        <v>0</v>
      </c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</row>
    <row r="161" spans="1:60" outlineLevel="3" x14ac:dyDescent="0.2">
      <c r="A161" s="172"/>
      <c r="B161" s="173"/>
      <c r="C161" s="174" t="s">
        <v>268</v>
      </c>
      <c r="D161" s="175"/>
      <c r="E161" s="176">
        <v>11.68</v>
      </c>
      <c r="F161" s="196"/>
      <c r="G161" s="169"/>
      <c r="H161" s="169"/>
      <c r="I161" s="169"/>
      <c r="J161" s="169"/>
      <c r="K161" s="169"/>
      <c r="L161" s="169"/>
      <c r="M161" s="169"/>
      <c r="N161" s="170"/>
      <c r="O161" s="170"/>
      <c r="P161" s="170"/>
      <c r="Q161" s="170"/>
      <c r="R161" s="169"/>
      <c r="S161" s="169"/>
      <c r="T161" s="169"/>
      <c r="U161" s="169"/>
      <c r="V161" s="169"/>
      <c r="W161" s="169"/>
      <c r="X161" s="169"/>
      <c r="Y161" s="169"/>
      <c r="Z161" s="171"/>
      <c r="AA161" s="171"/>
      <c r="AB161" s="171"/>
      <c r="AC161" s="171"/>
      <c r="AD161" s="171"/>
      <c r="AE161" s="171"/>
      <c r="AF161" s="171"/>
      <c r="AG161" s="171" t="s">
        <v>148</v>
      </c>
      <c r="AH161" s="171">
        <v>0</v>
      </c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</row>
    <row r="162" spans="1:60" outlineLevel="3" x14ac:dyDescent="0.2">
      <c r="A162" s="172"/>
      <c r="B162" s="173"/>
      <c r="C162" s="183" t="s">
        <v>269</v>
      </c>
      <c r="D162" s="184"/>
      <c r="E162" s="185">
        <v>222.7193</v>
      </c>
      <c r="F162" s="196"/>
      <c r="G162" s="169"/>
      <c r="H162" s="169"/>
      <c r="I162" s="169"/>
      <c r="J162" s="169"/>
      <c r="K162" s="169"/>
      <c r="L162" s="169"/>
      <c r="M162" s="169"/>
      <c r="N162" s="170"/>
      <c r="O162" s="170"/>
      <c r="P162" s="170"/>
      <c r="Q162" s="170"/>
      <c r="R162" s="169"/>
      <c r="S162" s="169"/>
      <c r="T162" s="169"/>
      <c r="U162" s="169"/>
      <c r="V162" s="169"/>
      <c r="W162" s="169"/>
      <c r="X162" s="169"/>
      <c r="Y162" s="169"/>
      <c r="Z162" s="171"/>
      <c r="AA162" s="171"/>
      <c r="AB162" s="171"/>
      <c r="AC162" s="171"/>
      <c r="AD162" s="171"/>
      <c r="AE162" s="171"/>
      <c r="AF162" s="171"/>
      <c r="AG162" s="171" t="s">
        <v>148</v>
      </c>
      <c r="AH162" s="171">
        <v>1</v>
      </c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</row>
    <row r="163" spans="1:60" x14ac:dyDescent="0.2">
      <c r="A163" s="153" t="s">
        <v>138</v>
      </c>
      <c r="B163" s="154" t="s">
        <v>69</v>
      </c>
      <c r="C163" s="155" t="s">
        <v>70</v>
      </c>
      <c r="D163" s="156"/>
      <c r="E163" s="157"/>
      <c r="F163" s="197"/>
      <c r="G163" s="159">
        <f>SUMIF(AG164:AG182,"&lt;&gt;NOR",G164:G182)</f>
        <v>0</v>
      </c>
      <c r="H163" s="160"/>
      <c r="I163" s="160">
        <f>SUM(I164:I182)</f>
        <v>0</v>
      </c>
      <c r="J163" s="160"/>
      <c r="K163" s="160">
        <f>SUM(K164:K182)</f>
        <v>0</v>
      </c>
      <c r="L163" s="160"/>
      <c r="M163" s="160">
        <f>SUM(M164:M182)</f>
        <v>0</v>
      </c>
      <c r="N163" s="161"/>
      <c r="O163" s="161">
        <f>SUM(O164:O182)</f>
        <v>2.72</v>
      </c>
      <c r="P163" s="161"/>
      <c r="Q163" s="161">
        <f>SUM(Q164:Q182)</f>
        <v>0</v>
      </c>
      <c r="R163" s="160"/>
      <c r="S163" s="160"/>
      <c r="T163" s="160"/>
      <c r="U163" s="160"/>
      <c r="V163" s="160">
        <f>SUM(V164:V182)</f>
        <v>39.22</v>
      </c>
      <c r="W163" s="160"/>
      <c r="X163" s="160"/>
      <c r="Y163" s="160"/>
      <c r="AG163" t="s">
        <v>139</v>
      </c>
    </row>
    <row r="164" spans="1:60" outlineLevel="1" x14ac:dyDescent="0.2">
      <c r="A164" s="162">
        <v>18</v>
      </c>
      <c r="B164" s="163" t="s">
        <v>270</v>
      </c>
      <c r="C164" s="164" t="s">
        <v>271</v>
      </c>
      <c r="D164" s="165" t="s">
        <v>142</v>
      </c>
      <c r="E164" s="166">
        <v>9.2999999999999999E-2</v>
      </c>
      <c r="F164" s="140"/>
      <c r="G164" s="167">
        <f>ROUND(E164*F164,2)</f>
        <v>0</v>
      </c>
      <c r="H164" s="168"/>
      <c r="I164" s="169">
        <f>ROUND(E164*H164,2)</f>
        <v>0</v>
      </c>
      <c r="J164" s="168"/>
      <c r="K164" s="169">
        <f>ROUND(E164*J164,2)</f>
        <v>0</v>
      </c>
      <c r="L164" s="169">
        <v>21</v>
      </c>
      <c r="M164" s="169">
        <f>G164*(1+L164/100)</f>
        <v>0</v>
      </c>
      <c r="N164" s="170">
        <v>2.5249999999999999</v>
      </c>
      <c r="O164" s="170">
        <f>ROUND(E164*N164,2)</f>
        <v>0.23</v>
      </c>
      <c r="P164" s="170">
        <v>0</v>
      </c>
      <c r="Q164" s="170">
        <f>ROUND(E164*P164,2)</f>
        <v>0</v>
      </c>
      <c r="R164" s="169"/>
      <c r="S164" s="169" t="s">
        <v>143</v>
      </c>
      <c r="T164" s="169" t="s">
        <v>143</v>
      </c>
      <c r="U164" s="169">
        <v>3.2130000000000001</v>
      </c>
      <c r="V164" s="169">
        <f>ROUND(E164*U164,2)</f>
        <v>0.3</v>
      </c>
      <c r="W164" s="169"/>
      <c r="X164" s="169" t="s">
        <v>144</v>
      </c>
      <c r="Y164" s="169" t="s">
        <v>145</v>
      </c>
      <c r="Z164" s="171"/>
      <c r="AA164" s="171"/>
      <c r="AB164" s="171"/>
      <c r="AC164" s="171"/>
      <c r="AD164" s="171"/>
      <c r="AE164" s="171"/>
      <c r="AF164" s="171"/>
      <c r="AG164" s="171" t="s">
        <v>146</v>
      </c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</row>
    <row r="165" spans="1:60" outlineLevel="2" x14ac:dyDescent="0.2">
      <c r="A165" s="172"/>
      <c r="B165" s="173"/>
      <c r="C165" s="174" t="s">
        <v>272</v>
      </c>
      <c r="D165" s="175"/>
      <c r="E165" s="176"/>
      <c r="F165" s="196"/>
      <c r="G165" s="169"/>
      <c r="H165" s="169"/>
      <c r="I165" s="169"/>
      <c r="J165" s="169"/>
      <c r="K165" s="169"/>
      <c r="L165" s="169"/>
      <c r="M165" s="169"/>
      <c r="N165" s="170"/>
      <c r="O165" s="170"/>
      <c r="P165" s="170"/>
      <c r="Q165" s="170"/>
      <c r="R165" s="169"/>
      <c r="S165" s="169"/>
      <c r="T165" s="169"/>
      <c r="U165" s="169"/>
      <c r="V165" s="169"/>
      <c r="W165" s="169"/>
      <c r="X165" s="169"/>
      <c r="Y165" s="169"/>
      <c r="Z165" s="171"/>
      <c r="AA165" s="171"/>
      <c r="AB165" s="171"/>
      <c r="AC165" s="171"/>
      <c r="AD165" s="171"/>
      <c r="AE165" s="171"/>
      <c r="AF165" s="171"/>
      <c r="AG165" s="171" t="s">
        <v>148</v>
      </c>
      <c r="AH165" s="171">
        <v>0</v>
      </c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</row>
    <row r="166" spans="1:60" outlineLevel="3" x14ac:dyDescent="0.2">
      <c r="A166" s="172"/>
      <c r="B166" s="173"/>
      <c r="C166" s="174" t="s">
        <v>149</v>
      </c>
      <c r="D166" s="175"/>
      <c r="E166" s="176"/>
      <c r="F166" s="196"/>
      <c r="G166" s="169"/>
      <c r="H166" s="169"/>
      <c r="I166" s="169"/>
      <c r="J166" s="169"/>
      <c r="K166" s="169"/>
      <c r="L166" s="169"/>
      <c r="M166" s="169"/>
      <c r="N166" s="170"/>
      <c r="O166" s="170"/>
      <c r="P166" s="170"/>
      <c r="Q166" s="170"/>
      <c r="R166" s="169"/>
      <c r="S166" s="169"/>
      <c r="T166" s="169"/>
      <c r="U166" s="169"/>
      <c r="V166" s="169"/>
      <c r="W166" s="169"/>
      <c r="X166" s="169"/>
      <c r="Y166" s="169"/>
      <c r="Z166" s="171"/>
      <c r="AA166" s="171"/>
      <c r="AB166" s="171"/>
      <c r="AC166" s="171"/>
      <c r="AD166" s="171"/>
      <c r="AE166" s="171"/>
      <c r="AF166" s="171"/>
      <c r="AG166" s="171" t="s">
        <v>148</v>
      </c>
      <c r="AH166" s="171">
        <v>0</v>
      </c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</row>
    <row r="167" spans="1:60" outlineLevel="3" x14ac:dyDescent="0.2">
      <c r="A167" s="172"/>
      <c r="B167" s="173"/>
      <c r="C167" s="174" t="s">
        <v>273</v>
      </c>
      <c r="D167" s="175"/>
      <c r="E167" s="176">
        <v>6.9000000000000006E-2</v>
      </c>
      <c r="F167" s="196"/>
      <c r="G167" s="169"/>
      <c r="H167" s="169"/>
      <c r="I167" s="169"/>
      <c r="J167" s="169"/>
      <c r="K167" s="169"/>
      <c r="L167" s="169"/>
      <c r="M167" s="169"/>
      <c r="N167" s="170"/>
      <c r="O167" s="170"/>
      <c r="P167" s="170"/>
      <c r="Q167" s="170"/>
      <c r="R167" s="169"/>
      <c r="S167" s="169"/>
      <c r="T167" s="169"/>
      <c r="U167" s="169"/>
      <c r="V167" s="169"/>
      <c r="W167" s="169"/>
      <c r="X167" s="169"/>
      <c r="Y167" s="169"/>
      <c r="Z167" s="171"/>
      <c r="AA167" s="171"/>
      <c r="AB167" s="171"/>
      <c r="AC167" s="171"/>
      <c r="AD167" s="171"/>
      <c r="AE167" s="171"/>
      <c r="AF167" s="171"/>
      <c r="AG167" s="171" t="s">
        <v>148</v>
      </c>
      <c r="AH167" s="171">
        <v>0</v>
      </c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</row>
    <row r="168" spans="1:60" outlineLevel="3" x14ac:dyDescent="0.2">
      <c r="A168" s="172"/>
      <c r="B168" s="173"/>
      <c r="C168" s="174" t="s">
        <v>274</v>
      </c>
      <c r="D168" s="175"/>
      <c r="E168" s="176"/>
      <c r="F168" s="196"/>
      <c r="G168" s="169"/>
      <c r="H168" s="169"/>
      <c r="I168" s="169"/>
      <c r="J168" s="169"/>
      <c r="K168" s="169"/>
      <c r="L168" s="169"/>
      <c r="M168" s="169"/>
      <c r="N168" s="170"/>
      <c r="O168" s="170"/>
      <c r="P168" s="170"/>
      <c r="Q168" s="170"/>
      <c r="R168" s="169"/>
      <c r="S168" s="169"/>
      <c r="T168" s="169"/>
      <c r="U168" s="169"/>
      <c r="V168" s="169"/>
      <c r="W168" s="169"/>
      <c r="X168" s="169"/>
      <c r="Y168" s="169"/>
      <c r="Z168" s="171"/>
      <c r="AA168" s="171"/>
      <c r="AB168" s="171"/>
      <c r="AC168" s="171"/>
      <c r="AD168" s="171"/>
      <c r="AE168" s="171"/>
      <c r="AF168" s="171"/>
      <c r="AG168" s="171" t="s">
        <v>148</v>
      </c>
      <c r="AH168" s="171">
        <v>0</v>
      </c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</row>
    <row r="169" spans="1:60" outlineLevel="3" x14ac:dyDescent="0.2">
      <c r="A169" s="172"/>
      <c r="B169" s="173"/>
      <c r="C169" s="174" t="s">
        <v>149</v>
      </c>
      <c r="D169" s="175"/>
      <c r="E169" s="176"/>
      <c r="F169" s="196"/>
      <c r="G169" s="169"/>
      <c r="H169" s="169"/>
      <c r="I169" s="169"/>
      <c r="J169" s="169"/>
      <c r="K169" s="169"/>
      <c r="L169" s="169"/>
      <c r="M169" s="169"/>
      <c r="N169" s="170"/>
      <c r="O169" s="170"/>
      <c r="P169" s="170"/>
      <c r="Q169" s="170"/>
      <c r="R169" s="169"/>
      <c r="S169" s="169"/>
      <c r="T169" s="169"/>
      <c r="U169" s="169"/>
      <c r="V169" s="169"/>
      <c r="W169" s="169"/>
      <c r="X169" s="169"/>
      <c r="Y169" s="169"/>
      <c r="Z169" s="171"/>
      <c r="AA169" s="171"/>
      <c r="AB169" s="171"/>
      <c r="AC169" s="171"/>
      <c r="AD169" s="171"/>
      <c r="AE169" s="171"/>
      <c r="AF169" s="171"/>
      <c r="AG169" s="171" t="s">
        <v>148</v>
      </c>
      <c r="AH169" s="171">
        <v>0</v>
      </c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</row>
    <row r="170" spans="1:60" outlineLevel="3" x14ac:dyDescent="0.2">
      <c r="A170" s="172"/>
      <c r="B170" s="173"/>
      <c r="C170" s="174" t="s">
        <v>275</v>
      </c>
      <c r="D170" s="175"/>
      <c r="E170" s="176">
        <v>8.0000000000000002E-3</v>
      </c>
      <c r="F170" s="196"/>
      <c r="G170" s="169"/>
      <c r="H170" s="169"/>
      <c r="I170" s="169"/>
      <c r="J170" s="169"/>
      <c r="K170" s="169"/>
      <c r="L170" s="169"/>
      <c r="M170" s="169"/>
      <c r="N170" s="170"/>
      <c r="O170" s="170"/>
      <c r="P170" s="170"/>
      <c r="Q170" s="170"/>
      <c r="R170" s="169"/>
      <c r="S170" s="169"/>
      <c r="T170" s="169"/>
      <c r="U170" s="169"/>
      <c r="V170" s="169"/>
      <c r="W170" s="169"/>
      <c r="X170" s="169"/>
      <c r="Y170" s="169"/>
      <c r="Z170" s="171"/>
      <c r="AA170" s="171"/>
      <c r="AB170" s="171"/>
      <c r="AC170" s="171"/>
      <c r="AD170" s="171"/>
      <c r="AE170" s="171"/>
      <c r="AF170" s="171"/>
      <c r="AG170" s="171" t="s">
        <v>148</v>
      </c>
      <c r="AH170" s="171">
        <v>0</v>
      </c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</row>
    <row r="171" spans="1:60" outlineLevel="3" x14ac:dyDescent="0.2">
      <c r="A171" s="172"/>
      <c r="B171" s="173"/>
      <c r="C171" s="174" t="s">
        <v>151</v>
      </c>
      <c r="D171" s="175"/>
      <c r="E171" s="176"/>
      <c r="F171" s="196"/>
      <c r="G171" s="169"/>
      <c r="H171" s="169"/>
      <c r="I171" s="169"/>
      <c r="J171" s="169"/>
      <c r="K171" s="169"/>
      <c r="L171" s="169"/>
      <c r="M171" s="169"/>
      <c r="N171" s="170"/>
      <c r="O171" s="170"/>
      <c r="P171" s="170"/>
      <c r="Q171" s="170"/>
      <c r="R171" s="169"/>
      <c r="S171" s="169"/>
      <c r="T171" s="169"/>
      <c r="U171" s="169"/>
      <c r="V171" s="169"/>
      <c r="W171" s="169"/>
      <c r="X171" s="169"/>
      <c r="Y171" s="169"/>
      <c r="Z171" s="171"/>
      <c r="AA171" s="171"/>
      <c r="AB171" s="171"/>
      <c r="AC171" s="171"/>
      <c r="AD171" s="171"/>
      <c r="AE171" s="171"/>
      <c r="AF171" s="171"/>
      <c r="AG171" s="171" t="s">
        <v>148</v>
      </c>
      <c r="AH171" s="171">
        <v>0</v>
      </c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</row>
    <row r="172" spans="1:60" outlineLevel="3" x14ac:dyDescent="0.2">
      <c r="A172" s="172"/>
      <c r="B172" s="173"/>
      <c r="C172" s="174" t="s">
        <v>275</v>
      </c>
      <c r="D172" s="175"/>
      <c r="E172" s="176">
        <v>8.0000000000000002E-3</v>
      </c>
      <c r="F172" s="196"/>
      <c r="G172" s="169"/>
      <c r="H172" s="169"/>
      <c r="I172" s="169"/>
      <c r="J172" s="169"/>
      <c r="K172" s="169"/>
      <c r="L172" s="169"/>
      <c r="M172" s="169"/>
      <c r="N172" s="170"/>
      <c r="O172" s="170"/>
      <c r="P172" s="170"/>
      <c r="Q172" s="170"/>
      <c r="R172" s="169"/>
      <c r="S172" s="169"/>
      <c r="T172" s="169"/>
      <c r="U172" s="169"/>
      <c r="V172" s="169"/>
      <c r="W172" s="169"/>
      <c r="X172" s="169"/>
      <c r="Y172" s="169"/>
      <c r="Z172" s="171"/>
      <c r="AA172" s="171"/>
      <c r="AB172" s="171"/>
      <c r="AC172" s="171"/>
      <c r="AD172" s="171"/>
      <c r="AE172" s="171"/>
      <c r="AF172" s="171"/>
      <c r="AG172" s="171" t="s">
        <v>148</v>
      </c>
      <c r="AH172" s="171">
        <v>0</v>
      </c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</row>
    <row r="173" spans="1:60" outlineLevel="3" x14ac:dyDescent="0.2">
      <c r="A173" s="172"/>
      <c r="B173" s="173"/>
      <c r="C173" s="174" t="s">
        <v>152</v>
      </c>
      <c r="D173" s="175"/>
      <c r="E173" s="176"/>
      <c r="F173" s="196"/>
      <c r="G173" s="169"/>
      <c r="H173" s="169"/>
      <c r="I173" s="169"/>
      <c r="J173" s="169"/>
      <c r="K173" s="169"/>
      <c r="L173" s="169"/>
      <c r="M173" s="169"/>
      <c r="N173" s="170"/>
      <c r="O173" s="170"/>
      <c r="P173" s="170"/>
      <c r="Q173" s="170"/>
      <c r="R173" s="169"/>
      <c r="S173" s="169"/>
      <c r="T173" s="169"/>
      <c r="U173" s="169"/>
      <c r="V173" s="169"/>
      <c r="W173" s="169"/>
      <c r="X173" s="169"/>
      <c r="Y173" s="169"/>
      <c r="Z173" s="171"/>
      <c r="AA173" s="171"/>
      <c r="AB173" s="171"/>
      <c r="AC173" s="171"/>
      <c r="AD173" s="171"/>
      <c r="AE173" s="171"/>
      <c r="AF173" s="171"/>
      <c r="AG173" s="171" t="s">
        <v>148</v>
      </c>
      <c r="AH173" s="171">
        <v>0</v>
      </c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</row>
    <row r="174" spans="1:60" outlineLevel="3" x14ac:dyDescent="0.2">
      <c r="A174" s="172"/>
      <c r="B174" s="173"/>
      <c r="C174" s="174" t="s">
        <v>275</v>
      </c>
      <c r="D174" s="175"/>
      <c r="E174" s="176">
        <v>8.0000000000000002E-3</v>
      </c>
      <c r="F174" s="196"/>
      <c r="G174" s="169"/>
      <c r="H174" s="169"/>
      <c r="I174" s="169"/>
      <c r="J174" s="169"/>
      <c r="K174" s="169"/>
      <c r="L174" s="169"/>
      <c r="M174" s="169"/>
      <c r="N174" s="170"/>
      <c r="O174" s="170"/>
      <c r="P174" s="170"/>
      <c r="Q174" s="170"/>
      <c r="R174" s="169"/>
      <c r="S174" s="169"/>
      <c r="T174" s="169"/>
      <c r="U174" s="169"/>
      <c r="V174" s="169"/>
      <c r="W174" s="169"/>
      <c r="X174" s="169"/>
      <c r="Y174" s="169"/>
      <c r="Z174" s="171"/>
      <c r="AA174" s="171"/>
      <c r="AB174" s="171"/>
      <c r="AC174" s="171"/>
      <c r="AD174" s="171"/>
      <c r="AE174" s="171"/>
      <c r="AF174" s="171"/>
      <c r="AG174" s="171" t="s">
        <v>148</v>
      </c>
      <c r="AH174" s="171">
        <v>0</v>
      </c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</row>
    <row r="175" spans="1:60" outlineLevel="1" x14ac:dyDescent="0.2">
      <c r="A175" s="177">
        <v>19</v>
      </c>
      <c r="B175" s="178" t="s">
        <v>276</v>
      </c>
      <c r="C175" s="179" t="s">
        <v>277</v>
      </c>
      <c r="D175" s="180" t="s">
        <v>142</v>
      </c>
      <c r="E175" s="181">
        <v>9.2999999999999999E-2</v>
      </c>
      <c r="F175" s="141"/>
      <c r="G175" s="182">
        <f>ROUND(E175*F175,2)</f>
        <v>0</v>
      </c>
      <c r="H175" s="168"/>
      <c r="I175" s="169">
        <f>ROUND(E175*H175,2)</f>
        <v>0</v>
      </c>
      <c r="J175" s="168"/>
      <c r="K175" s="169">
        <f>ROUND(E175*J175,2)</f>
        <v>0</v>
      </c>
      <c r="L175" s="169">
        <v>21</v>
      </c>
      <c r="M175" s="169">
        <f>G175*(1+L175/100)</f>
        <v>0</v>
      </c>
      <c r="N175" s="170">
        <v>0</v>
      </c>
      <c r="O175" s="170">
        <f>ROUND(E175*N175,2)</f>
        <v>0</v>
      </c>
      <c r="P175" s="170">
        <v>0</v>
      </c>
      <c r="Q175" s="170">
        <f>ROUND(E175*P175,2)</f>
        <v>0</v>
      </c>
      <c r="R175" s="169"/>
      <c r="S175" s="169" t="s">
        <v>143</v>
      </c>
      <c r="T175" s="169" t="s">
        <v>143</v>
      </c>
      <c r="U175" s="169">
        <v>2.7</v>
      </c>
      <c r="V175" s="169">
        <f>ROUND(E175*U175,2)</f>
        <v>0.25</v>
      </c>
      <c r="W175" s="169"/>
      <c r="X175" s="169" t="s">
        <v>144</v>
      </c>
      <c r="Y175" s="169" t="s">
        <v>145</v>
      </c>
      <c r="Z175" s="171"/>
      <c r="AA175" s="171"/>
      <c r="AB175" s="171"/>
      <c r="AC175" s="171"/>
      <c r="AD175" s="171"/>
      <c r="AE175" s="171"/>
      <c r="AF175" s="171"/>
      <c r="AG175" s="171" t="s">
        <v>146</v>
      </c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</row>
    <row r="176" spans="1:60" outlineLevel="1" x14ac:dyDescent="0.2">
      <c r="A176" s="162">
        <v>20</v>
      </c>
      <c r="B176" s="163" t="s">
        <v>278</v>
      </c>
      <c r="C176" s="164" t="s">
        <v>279</v>
      </c>
      <c r="D176" s="165" t="s">
        <v>159</v>
      </c>
      <c r="E176" s="166">
        <v>118.61</v>
      </c>
      <c r="F176" s="140"/>
      <c r="G176" s="167">
        <f>ROUND(E176*F176,2)</f>
        <v>0</v>
      </c>
      <c r="H176" s="168"/>
      <c r="I176" s="169">
        <f>ROUND(E176*H176,2)</f>
        <v>0</v>
      </c>
      <c r="J176" s="168"/>
      <c r="K176" s="169">
        <f>ROUND(E176*J176,2)</f>
        <v>0</v>
      </c>
      <c r="L176" s="169">
        <v>21</v>
      </c>
      <c r="M176" s="169">
        <f>G176*(1+L176/100)</f>
        <v>0</v>
      </c>
      <c r="N176" s="170">
        <v>2.1000000000000001E-2</v>
      </c>
      <c r="O176" s="170">
        <f>ROUND(E176*N176,2)</f>
        <v>2.4900000000000002</v>
      </c>
      <c r="P176" s="170">
        <v>0</v>
      </c>
      <c r="Q176" s="170">
        <f>ROUND(E176*P176,2)</f>
        <v>0</v>
      </c>
      <c r="R176" s="169"/>
      <c r="S176" s="169" t="s">
        <v>143</v>
      </c>
      <c r="T176" s="169" t="s">
        <v>143</v>
      </c>
      <c r="U176" s="169">
        <v>0.32600000000000001</v>
      </c>
      <c r="V176" s="169">
        <f>ROUND(E176*U176,2)</f>
        <v>38.67</v>
      </c>
      <c r="W176" s="169"/>
      <c r="X176" s="169" t="s">
        <v>144</v>
      </c>
      <c r="Y176" s="169" t="s">
        <v>145</v>
      </c>
      <c r="Z176" s="171"/>
      <c r="AA176" s="171"/>
      <c r="AB176" s="171"/>
      <c r="AC176" s="171"/>
      <c r="AD176" s="171"/>
      <c r="AE176" s="171"/>
      <c r="AF176" s="171"/>
      <c r="AG176" s="171" t="s">
        <v>146</v>
      </c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</row>
    <row r="177" spans="1:60" outlineLevel="2" x14ac:dyDescent="0.2">
      <c r="A177" s="172"/>
      <c r="B177" s="173"/>
      <c r="C177" s="174" t="s">
        <v>149</v>
      </c>
      <c r="D177" s="175"/>
      <c r="E177" s="176"/>
      <c r="F177" s="196"/>
      <c r="G177" s="169"/>
      <c r="H177" s="169"/>
      <c r="I177" s="169"/>
      <c r="J177" s="169"/>
      <c r="K177" s="169"/>
      <c r="L177" s="169"/>
      <c r="M177" s="169"/>
      <c r="N177" s="170"/>
      <c r="O177" s="170"/>
      <c r="P177" s="170"/>
      <c r="Q177" s="170"/>
      <c r="R177" s="169"/>
      <c r="S177" s="169"/>
      <c r="T177" s="169"/>
      <c r="U177" s="169"/>
      <c r="V177" s="169"/>
      <c r="W177" s="169"/>
      <c r="X177" s="169"/>
      <c r="Y177" s="169"/>
      <c r="Z177" s="171"/>
      <c r="AA177" s="171"/>
      <c r="AB177" s="171"/>
      <c r="AC177" s="171"/>
      <c r="AD177" s="171"/>
      <c r="AE177" s="171"/>
      <c r="AF177" s="171"/>
      <c r="AG177" s="171" t="s">
        <v>148</v>
      </c>
      <c r="AH177" s="171">
        <v>0</v>
      </c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</row>
    <row r="178" spans="1:60" outlineLevel="3" x14ac:dyDescent="0.2">
      <c r="A178" s="172"/>
      <c r="B178" s="173"/>
      <c r="C178" s="174" t="s">
        <v>280</v>
      </c>
      <c r="D178" s="175"/>
      <c r="E178" s="176">
        <v>39.369999999999997</v>
      </c>
      <c r="F178" s="196"/>
      <c r="G178" s="169"/>
      <c r="H178" s="169"/>
      <c r="I178" s="169"/>
      <c r="J178" s="169"/>
      <c r="K178" s="169"/>
      <c r="L178" s="169"/>
      <c r="M178" s="169"/>
      <c r="N178" s="170"/>
      <c r="O178" s="170"/>
      <c r="P178" s="170"/>
      <c r="Q178" s="170"/>
      <c r="R178" s="169"/>
      <c r="S178" s="169"/>
      <c r="T178" s="169"/>
      <c r="U178" s="169"/>
      <c r="V178" s="169"/>
      <c r="W178" s="169"/>
      <c r="X178" s="169"/>
      <c r="Y178" s="169"/>
      <c r="Z178" s="171"/>
      <c r="AA178" s="171"/>
      <c r="AB178" s="171"/>
      <c r="AC178" s="171"/>
      <c r="AD178" s="171"/>
      <c r="AE178" s="171"/>
      <c r="AF178" s="171"/>
      <c r="AG178" s="171" t="s">
        <v>148</v>
      </c>
      <c r="AH178" s="171">
        <v>0</v>
      </c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</row>
    <row r="179" spans="1:60" outlineLevel="3" x14ac:dyDescent="0.2">
      <c r="A179" s="172"/>
      <c r="B179" s="173"/>
      <c r="C179" s="174" t="s">
        <v>151</v>
      </c>
      <c r="D179" s="175"/>
      <c r="E179" s="176"/>
      <c r="F179" s="196"/>
      <c r="G179" s="169"/>
      <c r="H179" s="169"/>
      <c r="I179" s="169"/>
      <c r="J179" s="169"/>
      <c r="K179" s="169"/>
      <c r="L179" s="169"/>
      <c r="M179" s="169"/>
      <c r="N179" s="170"/>
      <c r="O179" s="170"/>
      <c r="P179" s="170"/>
      <c r="Q179" s="170"/>
      <c r="R179" s="169"/>
      <c r="S179" s="169"/>
      <c r="T179" s="169"/>
      <c r="U179" s="169"/>
      <c r="V179" s="169"/>
      <c r="W179" s="169"/>
      <c r="X179" s="169"/>
      <c r="Y179" s="169"/>
      <c r="Z179" s="171"/>
      <c r="AA179" s="171"/>
      <c r="AB179" s="171"/>
      <c r="AC179" s="171"/>
      <c r="AD179" s="171"/>
      <c r="AE179" s="171"/>
      <c r="AF179" s="171"/>
      <c r="AG179" s="171" t="s">
        <v>148</v>
      </c>
      <c r="AH179" s="171">
        <v>0</v>
      </c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</row>
    <row r="180" spans="1:60" outlineLevel="3" x14ac:dyDescent="0.2">
      <c r="A180" s="172"/>
      <c r="B180" s="173"/>
      <c r="C180" s="174" t="s">
        <v>281</v>
      </c>
      <c r="D180" s="175"/>
      <c r="E180" s="176">
        <v>39.69</v>
      </c>
      <c r="F180" s="196"/>
      <c r="G180" s="169"/>
      <c r="H180" s="169"/>
      <c r="I180" s="169"/>
      <c r="J180" s="169"/>
      <c r="K180" s="169"/>
      <c r="L180" s="169"/>
      <c r="M180" s="169"/>
      <c r="N180" s="170"/>
      <c r="O180" s="170"/>
      <c r="P180" s="170"/>
      <c r="Q180" s="170"/>
      <c r="R180" s="169"/>
      <c r="S180" s="169"/>
      <c r="T180" s="169"/>
      <c r="U180" s="169"/>
      <c r="V180" s="169"/>
      <c r="W180" s="169"/>
      <c r="X180" s="169"/>
      <c r="Y180" s="169"/>
      <c r="Z180" s="171"/>
      <c r="AA180" s="171"/>
      <c r="AB180" s="171"/>
      <c r="AC180" s="171"/>
      <c r="AD180" s="171"/>
      <c r="AE180" s="171"/>
      <c r="AF180" s="171"/>
      <c r="AG180" s="171" t="s">
        <v>148</v>
      </c>
      <c r="AH180" s="171">
        <v>0</v>
      </c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</row>
    <row r="181" spans="1:60" outlineLevel="3" x14ac:dyDescent="0.2">
      <c r="A181" s="172"/>
      <c r="B181" s="173"/>
      <c r="C181" s="174" t="s">
        <v>152</v>
      </c>
      <c r="D181" s="175"/>
      <c r="E181" s="176"/>
      <c r="F181" s="196"/>
      <c r="G181" s="169"/>
      <c r="H181" s="169"/>
      <c r="I181" s="169"/>
      <c r="J181" s="169"/>
      <c r="K181" s="169"/>
      <c r="L181" s="169"/>
      <c r="M181" s="169"/>
      <c r="N181" s="170"/>
      <c r="O181" s="170"/>
      <c r="P181" s="170"/>
      <c r="Q181" s="170"/>
      <c r="R181" s="169"/>
      <c r="S181" s="169"/>
      <c r="T181" s="169"/>
      <c r="U181" s="169"/>
      <c r="V181" s="169"/>
      <c r="W181" s="169"/>
      <c r="X181" s="169"/>
      <c r="Y181" s="169"/>
      <c r="Z181" s="171"/>
      <c r="AA181" s="171"/>
      <c r="AB181" s="171"/>
      <c r="AC181" s="171"/>
      <c r="AD181" s="171"/>
      <c r="AE181" s="171"/>
      <c r="AF181" s="171"/>
      <c r="AG181" s="171" t="s">
        <v>148</v>
      </c>
      <c r="AH181" s="171">
        <v>0</v>
      </c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</row>
    <row r="182" spans="1:60" outlineLevel="3" x14ac:dyDescent="0.2">
      <c r="A182" s="172"/>
      <c r="B182" s="173"/>
      <c r="C182" s="174" t="s">
        <v>282</v>
      </c>
      <c r="D182" s="175"/>
      <c r="E182" s="176">
        <v>39.549999999999997</v>
      </c>
      <c r="F182" s="196"/>
      <c r="G182" s="169"/>
      <c r="H182" s="169"/>
      <c r="I182" s="169"/>
      <c r="J182" s="169"/>
      <c r="K182" s="169"/>
      <c r="L182" s="169"/>
      <c r="M182" s="169"/>
      <c r="N182" s="170"/>
      <c r="O182" s="170"/>
      <c r="P182" s="170"/>
      <c r="Q182" s="170"/>
      <c r="R182" s="169"/>
      <c r="S182" s="169"/>
      <c r="T182" s="169"/>
      <c r="U182" s="169"/>
      <c r="V182" s="169"/>
      <c r="W182" s="169"/>
      <c r="X182" s="169"/>
      <c r="Y182" s="169"/>
      <c r="Z182" s="171"/>
      <c r="AA182" s="171"/>
      <c r="AB182" s="171"/>
      <c r="AC182" s="171"/>
      <c r="AD182" s="171"/>
      <c r="AE182" s="171"/>
      <c r="AF182" s="171"/>
      <c r="AG182" s="171" t="s">
        <v>148</v>
      </c>
      <c r="AH182" s="171">
        <v>0</v>
      </c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</row>
    <row r="183" spans="1:60" x14ac:dyDescent="0.2">
      <c r="A183" s="153" t="s">
        <v>138</v>
      </c>
      <c r="B183" s="154" t="s">
        <v>71</v>
      </c>
      <c r="C183" s="155" t="s">
        <v>72</v>
      </c>
      <c r="D183" s="156"/>
      <c r="E183" s="157"/>
      <c r="F183" s="197"/>
      <c r="G183" s="159">
        <f>SUMIF(AG184:AG189,"&lt;&gt;NOR",G184:G189)</f>
        <v>0</v>
      </c>
      <c r="H183" s="160"/>
      <c r="I183" s="160">
        <f>SUM(I184:I189)</f>
        <v>0</v>
      </c>
      <c r="J183" s="160"/>
      <c r="K183" s="160">
        <f>SUM(K184:K189)</f>
        <v>0</v>
      </c>
      <c r="L183" s="160"/>
      <c r="M183" s="160">
        <f>SUM(M184:M189)</f>
        <v>0</v>
      </c>
      <c r="N183" s="161"/>
      <c r="O183" s="161">
        <f>SUM(O184:O189)</f>
        <v>0.16999999999999998</v>
      </c>
      <c r="P183" s="161"/>
      <c r="Q183" s="161">
        <f>SUM(Q184:Q189)</f>
        <v>0</v>
      </c>
      <c r="R183" s="160"/>
      <c r="S183" s="160"/>
      <c r="T183" s="160"/>
      <c r="U183" s="160"/>
      <c r="V183" s="160">
        <f>SUM(V184:V189)</f>
        <v>11.16</v>
      </c>
      <c r="W183" s="160"/>
      <c r="X183" s="160"/>
      <c r="Y183" s="160"/>
      <c r="AG183" t="s">
        <v>139</v>
      </c>
    </row>
    <row r="184" spans="1:60" outlineLevel="1" x14ac:dyDescent="0.2">
      <c r="A184" s="162">
        <v>21</v>
      </c>
      <c r="B184" s="163" t="s">
        <v>283</v>
      </c>
      <c r="C184" s="164" t="s">
        <v>284</v>
      </c>
      <c r="D184" s="165" t="s">
        <v>230</v>
      </c>
      <c r="E184" s="166">
        <v>6</v>
      </c>
      <c r="F184" s="140"/>
      <c r="G184" s="167">
        <f>ROUND(E184*F184,2)</f>
        <v>0</v>
      </c>
      <c r="H184" s="168"/>
      <c r="I184" s="169">
        <f>ROUND(E184*H184,2)</f>
        <v>0</v>
      </c>
      <c r="J184" s="168"/>
      <c r="K184" s="169">
        <f>ROUND(E184*J184,2)</f>
        <v>0</v>
      </c>
      <c r="L184" s="169">
        <v>21</v>
      </c>
      <c r="M184" s="169">
        <f>G184*(1+L184/100)</f>
        <v>0</v>
      </c>
      <c r="N184" s="170">
        <v>1.8970000000000001E-2</v>
      </c>
      <c r="O184" s="170">
        <f>ROUND(E184*N184,2)</f>
        <v>0.11</v>
      </c>
      <c r="P184" s="170">
        <v>0</v>
      </c>
      <c r="Q184" s="170">
        <f>ROUND(E184*P184,2)</f>
        <v>0</v>
      </c>
      <c r="R184" s="169"/>
      <c r="S184" s="169" t="s">
        <v>143</v>
      </c>
      <c r="T184" s="169" t="s">
        <v>143</v>
      </c>
      <c r="U184" s="169">
        <v>1.86</v>
      </c>
      <c r="V184" s="169">
        <f>ROUND(E184*U184,2)</f>
        <v>11.16</v>
      </c>
      <c r="W184" s="169"/>
      <c r="X184" s="169" t="s">
        <v>144</v>
      </c>
      <c r="Y184" s="169" t="s">
        <v>145</v>
      </c>
      <c r="Z184" s="171"/>
      <c r="AA184" s="171"/>
      <c r="AB184" s="171"/>
      <c r="AC184" s="171"/>
      <c r="AD184" s="171"/>
      <c r="AE184" s="171"/>
      <c r="AF184" s="171"/>
      <c r="AG184" s="171" t="s">
        <v>146</v>
      </c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</row>
    <row r="185" spans="1:60" outlineLevel="2" x14ac:dyDescent="0.2">
      <c r="A185" s="172"/>
      <c r="B185" s="173"/>
      <c r="C185" s="174" t="s">
        <v>285</v>
      </c>
      <c r="D185" s="175"/>
      <c r="E185" s="176"/>
      <c r="F185" s="196"/>
      <c r="G185" s="169"/>
      <c r="H185" s="169"/>
      <c r="I185" s="169"/>
      <c r="J185" s="169"/>
      <c r="K185" s="169"/>
      <c r="L185" s="169"/>
      <c r="M185" s="169"/>
      <c r="N185" s="170"/>
      <c r="O185" s="170"/>
      <c r="P185" s="170"/>
      <c r="Q185" s="170"/>
      <c r="R185" s="169"/>
      <c r="S185" s="169"/>
      <c r="T185" s="169"/>
      <c r="U185" s="169"/>
      <c r="V185" s="169"/>
      <c r="W185" s="169"/>
      <c r="X185" s="169"/>
      <c r="Y185" s="169"/>
      <c r="Z185" s="171"/>
      <c r="AA185" s="171"/>
      <c r="AB185" s="171"/>
      <c r="AC185" s="171"/>
      <c r="AD185" s="171"/>
      <c r="AE185" s="171"/>
      <c r="AF185" s="171"/>
      <c r="AG185" s="171" t="s">
        <v>148</v>
      </c>
      <c r="AH185" s="171">
        <v>0</v>
      </c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</row>
    <row r="186" spans="1:60" outlineLevel="3" x14ac:dyDescent="0.2">
      <c r="A186" s="172"/>
      <c r="B186" s="173"/>
      <c r="C186" s="174" t="s">
        <v>232</v>
      </c>
      <c r="D186" s="175"/>
      <c r="E186" s="176">
        <v>6</v>
      </c>
      <c r="F186" s="196"/>
      <c r="G186" s="169"/>
      <c r="H186" s="169"/>
      <c r="I186" s="169"/>
      <c r="J186" s="169"/>
      <c r="K186" s="169"/>
      <c r="L186" s="169"/>
      <c r="M186" s="169"/>
      <c r="N186" s="170"/>
      <c r="O186" s="170"/>
      <c r="P186" s="170"/>
      <c r="Q186" s="170"/>
      <c r="R186" s="169"/>
      <c r="S186" s="169"/>
      <c r="T186" s="169"/>
      <c r="U186" s="169"/>
      <c r="V186" s="169"/>
      <c r="W186" s="169"/>
      <c r="X186" s="169"/>
      <c r="Y186" s="169"/>
      <c r="Z186" s="171"/>
      <c r="AA186" s="171"/>
      <c r="AB186" s="171"/>
      <c r="AC186" s="171"/>
      <c r="AD186" s="171"/>
      <c r="AE186" s="171"/>
      <c r="AF186" s="171"/>
      <c r="AG186" s="171" t="s">
        <v>148</v>
      </c>
      <c r="AH186" s="171">
        <v>0</v>
      </c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  <c r="BG186" s="171"/>
      <c r="BH186" s="171"/>
    </row>
    <row r="187" spans="1:60" outlineLevel="1" x14ac:dyDescent="0.2">
      <c r="A187" s="162">
        <v>22</v>
      </c>
      <c r="B187" s="163" t="s">
        <v>286</v>
      </c>
      <c r="C187" s="164" t="s">
        <v>287</v>
      </c>
      <c r="D187" s="165" t="s">
        <v>230</v>
      </c>
      <c r="E187" s="166">
        <v>6</v>
      </c>
      <c r="F187" s="140"/>
      <c r="G187" s="167">
        <f>ROUND(E187*F187,2)</f>
        <v>0</v>
      </c>
      <c r="H187" s="168"/>
      <c r="I187" s="169">
        <f>ROUND(E187*H187,2)</f>
        <v>0</v>
      </c>
      <c r="J187" s="168"/>
      <c r="K187" s="169">
        <f>ROUND(E187*J187,2)</f>
        <v>0</v>
      </c>
      <c r="L187" s="169">
        <v>21</v>
      </c>
      <c r="M187" s="169">
        <f>G187*(1+L187/100)</f>
        <v>0</v>
      </c>
      <c r="N187" s="170">
        <v>1.056E-2</v>
      </c>
      <c r="O187" s="170">
        <f>ROUND(E187*N187,2)</f>
        <v>0.06</v>
      </c>
      <c r="P187" s="170">
        <v>0</v>
      </c>
      <c r="Q187" s="170">
        <f>ROUND(E187*P187,2)</f>
        <v>0</v>
      </c>
      <c r="R187" s="169" t="s">
        <v>224</v>
      </c>
      <c r="S187" s="169" t="s">
        <v>143</v>
      </c>
      <c r="T187" s="169" t="s">
        <v>143</v>
      </c>
      <c r="U187" s="169">
        <v>0</v>
      </c>
      <c r="V187" s="169">
        <f>ROUND(E187*U187,2)</f>
        <v>0</v>
      </c>
      <c r="W187" s="169"/>
      <c r="X187" s="169" t="s">
        <v>225</v>
      </c>
      <c r="Y187" s="169" t="s">
        <v>145</v>
      </c>
      <c r="Z187" s="171"/>
      <c r="AA187" s="171"/>
      <c r="AB187" s="171"/>
      <c r="AC187" s="171"/>
      <c r="AD187" s="171"/>
      <c r="AE187" s="171"/>
      <c r="AF187" s="171"/>
      <c r="AG187" s="171" t="s">
        <v>226</v>
      </c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</row>
    <row r="188" spans="1:60" outlineLevel="2" x14ac:dyDescent="0.2">
      <c r="A188" s="172"/>
      <c r="B188" s="173"/>
      <c r="C188" s="174" t="s">
        <v>285</v>
      </c>
      <c r="D188" s="175"/>
      <c r="E188" s="176"/>
      <c r="F188" s="196"/>
      <c r="G188" s="169"/>
      <c r="H188" s="169"/>
      <c r="I188" s="169"/>
      <c r="J188" s="169"/>
      <c r="K188" s="169"/>
      <c r="L188" s="169"/>
      <c r="M188" s="169"/>
      <c r="N188" s="170"/>
      <c r="O188" s="170"/>
      <c r="P188" s="170"/>
      <c r="Q188" s="170"/>
      <c r="R188" s="169"/>
      <c r="S188" s="169"/>
      <c r="T188" s="169"/>
      <c r="U188" s="169"/>
      <c r="V188" s="169"/>
      <c r="W188" s="169"/>
      <c r="X188" s="169"/>
      <c r="Y188" s="169"/>
      <c r="Z188" s="171"/>
      <c r="AA188" s="171"/>
      <c r="AB188" s="171"/>
      <c r="AC188" s="171"/>
      <c r="AD188" s="171"/>
      <c r="AE188" s="171"/>
      <c r="AF188" s="171"/>
      <c r="AG188" s="171" t="s">
        <v>148</v>
      </c>
      <c r="AH188" s="171">
        <v>0</v>
      </c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</row>
    <row r="189" spans="1:60" outlineLevel="3" x14ac:dyDescent="0.2">
      <c r="A189" s="172"/>
      <c r="B189" s="173"/>
      <c r="C189" s="174" t="s">
        <v>232</v>
      </c>
      <c r="D189" s="175"/>
      <c r="E189" s="176">
        <v>6</v>
      </c>
      <c r="F189" s="196"/>
      <c r="G189" s="169"/>
      <c r="H189" s="169"/>
      <c r="I189" s="169"/>
      <c r="J189" s="169"/>
      <c r="K189" s="169"/>
      <c r="L189" s="169"/>
      <c r="M189" s="169"/>
      <c r="N189" s="170"/>
      <c r="O189" s="170"/>
      <c r="P189" s="170"/>
      <c r="Q189" s="170"/>
      <c r="R189" s="169"/>
      <c r="S189" s="169"/>
      <c r="T189" s="169"/>
      <c r="U189" s="169"/>
      <c r="V189" s="169"/>
      <c r="W189" s="169"/>
      <c r="X189" s="169"/>
      <c r="Y189" s="169"/>
      <c r="Z189" s="171"/>
      <c r="AA189" s="171"/>
      <c r="AB189" s="171"/>
      <c r="AC189" s="171"/>
      <c r="AD189" s="171"/>
      <c r="AE189" s="171"/>
      <c r="AF189" s="171"/>
      <c r="AG189" s="171" t="s">
        <v>148</v>
      </c>
      <c r="AH189" s="171">
        <v>0</v>
      </c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</row>
    <row r="190" spans="1:60" x14ac:dyDescent="0.2">
      <c r="A190" s="153" t="s">
        <v>138</v>
      </c>
      <c r="B190" s="154" t="s">
        <v>73</v>
      </c>
      <c r="C190" s="155" t="s">
        <v>74</v>
      </c>
      <c r="D190" s="156"/>
      <c r="E190" s="157"/>
      <c r="F190" s="197"/>
      <c r="G190" s="159">
        <f>SUMIF(AG191:AG191,"&lt;&gt;NOR",G191:G191)</f>
        <v>0</v>
      </c>
      <c r="H190" s="160"/>
      <c r="I190" s="160">
        <f>SUM(I191:I191)</f>
        <v>0</v>
      </c>
      <c r="J190" s="160"/>
      <c r="K190" s="160">
        <f>SUM(K191:K191)</f>
        <v>0</v>
      </c>
      <c r="L190" s="160"/>
      <c r="M190" s="160">
        <f>SUM(M191:M191)</f>
        <v>0</v>
      </c>
      <c r="N190" s="161"/>
      <c r="O190" s="161">
        <f>SUM(O191:O191)</f>
        <v>0.03</v>
      </c>
      <c r="P190" s="161"/>
      <c r="Q190" s="161">
        <f>SUM(Q191:Q191)</f>
        <v>0</v>
      </c>
      <c r="R190" s="160"/>
      <c r="S190" s="160"/>
      <c r="T190" s="160"/>
      <c r="U190" s="160"/>
      <c r="V190" s="160">
        <f>SUM(V191:V191)</f>
        <v>4.03</v>
      </c>
      <c r="W190" s="160"/>
      <c r="X190" s="160"/>
      <c r="Y190" s="160"/>
      <c r="AG190" t="s">
        <v>139</v>
      </c>
    </row>
    <row r="191" spans="1:60" outlineLevel="1" x14ac:dyDescent="0.2">
      <c r="A191" s="177">
        <v>23</v>
      </c>
      <c r="B191" s="178" t="s">
        <v>288</v>
      </c>
      <c r="C191" s="179" t="s">
        <v>289</v>
      </c>
      <c r="D191" s="180" t="s">
        <v>159</v>
      </c>
      <c r="E191" s="181">
        <v>18.829999999999998</v>
      </c>
      <c r="F191" s="141"/>
      <c r="G191" s="182">
        <f>ROUND(E191*F191,2)</f>
        <v>0</v>
      </c>
      <c r="H191" s="168"/>
      <c r="I191" s="169">
        <f>ROUND(E191*H191,2)</f>
        <v>0</v>
      </c>
      <c r="J191" s="168"/>
      <c r="K191" s="169">
        <f>ROUND(E191*J191,2)</f>
        <v>0</v>
      </c>
      <c r="L191" s="169">
        <v>21</v>
      </c>
      <c r="M191" s="169">
        <f>G191*(1+L191/100)</f>
        <v>0</v>
      </c>
      <c r="N191" s="170">
        <v>1.58E-3</v>
      </c>
      <c r="O191" s="170">
        <f>ROUND(E191*N191,2)</f>
        <v>0.03</v>
      </c>
      <c r="P191" s="170">
        <v>0</v>
      </c>
      <c r="Q191" s="170">
        <f>ROUND(E191*P191,2)</f>
        <v>0</v>
      </c>
      <c r="R191" s="169"/>
      <c r="S191" s="169" t="s">
        <v>143</v>
      </c>
      <c r="T191" s="169" t="s">
        <v>143</v>
      </c>
      <c r="U191" s="169">
        <v>0.214</v>
      </c>
      <c r="V191" s="169">
        <f>ROUND(E191*U191,2)</f>
        <v>4.03</v>
      </c>
      <c r="W191" s="169"/>
      <c r="X191" s="169" t="s">
        <v>144</v>
      </c>
      <c r="Y191" s="169" t="s">
        <v>145</v>
      </c>
      <c r="Z191" s="171"/>
      <c r="AA191" s="171"/>
      <c r="AB191" s="171"/>
      <c r="AC191" s="171"/>
      <c r="AD191" s="171"/>
      <c r="AE191" s="171"/>
      <c r="AF191" s="171"/>
      <c r="AG191" s="171" t="s">
        <v>146</v>
      </c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</row>
    <row r="192" spans="1:60" ht="25.5" x14ac:dyDescent="0.2">
      <c r="A192" s="153" t="s">
        <v>138</v>
      </c>
      <c r="B192" s="154" t="s">
        <v>75</v>
      </c>
      <c r="C192" s="155" t="s">
        <v>76</v>
      </c>
      <c r="D192" s="156"/>
      <c r="E192" s="157"/>
      <c r="F192" s="197"/>
      <c r="G192" s="159">
        <f>SUMIF(AG193:AG211,"&lt;&gt;NOR",G193:G211)</f>
        <v>0</v>
      </c>
      <c r="H192" s="160"/>
      <c r="I192" s="160">
        <f>SUM(I193:I211)</f>
        <v>0</v>
      </c>
      <c r="J192" s="160"/>
      <c r="K192" s="160">
        <f>SUM(K193:K211)</f>
        <v>0</v>
      </c>
      <c r="L192" s="160"/>
      <c r="M192" s="160">
        <f>SUM(M193:M211)</f>
        <v>0</v>
      </c>
      <c r="N192" s="161"/>
      <c r="O192" s="161">
        <f>SUM(O193:O211)</f>
        <v>0.02</v>
      </c>
      <c r="P192" s="161"/>
      <c r="Q192" s="161">
        <f>SUM(Q193:Q211)</f>
        <v>0</v>
      </c>
      <c r="R192" s="160"/>
      <c r="S192" s="160"/>
      <c r="T192" s="160"/>
      <c r="U192" s="160"/>
      <c r="V192" s="160">
        <f>SUM(V193:V211)</f>
        <v>44.17</v>
      </c>
      <c r="W192" s="160"/>
      <c r="X192" s="160"/>
      <c r="Y192" s="160"/>
      <c r="AG192" t="s">
        <v>139</v>
      </c>
    </row>
    <row r="193" spans="1:60" outlineLevel="1" x14ac:dyDescent="0.2">
      <c r="A193" s="162">
        <v>24</v>
      </c>
      <c r="B193" s="163" t="s">
        <v>290</v>
      </c>
      <c r="C193" s="164" t="s">
        <v>291</v>
      </c>
      <c r="D193" s="165" t="s">
        <v>159</v>
      </c>
      <c r="E193" s="166">
        <v>138.54</v>
      </c>
      <c r="F193" s="140"/>
      <c r="G193" s="167">
        <f>ROUND(E193*F193,2)</f>
        <v>0</v>
      </c>
      <c r="H193" s="168"/>
      <c r="I193" s="169">
        <f>ROUND(E193*H193,2)</f>
        <v>0</v>
      </c>
      <c r="J193" s="168"/>
      <c r="K193" s="169">
        <f>ROUND(E193*J193,2)</f>
        <v>0</v>
      </c>
      <c r="L193" s="169">
        <v>21</v>
      </c>
      <c r="M193" s="169">
        <f>G193*(1+L193/100)</f>
        <v>0</v>
      </c>
      <c r="N193" s="170">
        <v>4.0000000000000003E-5</v>
      </c>
      <c r="O193" s="170">
        <f>ROUND(E193*N193,2)</f>
        <v>0.01</v>
      </c>
      <c r="P193" s="170">
        <v>0</v>
      </c>
      <c r="Q193" s="170">
        <f>ROUND(E193*P193,2)</f>
        <v>0</v>
      </c>
      <c r="R193" s="169"/>
      <c r="S193" s="169" t="s">
        <v>143</v>
      </c>
      <c r="T193" s="169" t="s">
        <v>143</v>
      </c>
      <c r="U193" s="169">
        <v>0.308</v>
      </c>
      <c r="V193" s="169">
        <f>ROUND(E193*U193,2)</f>
        <v>42.67</v>
      </c>
      <c r="W193" s="169"/>
      <c r="X193" s="169" t="s">
        <v>144</v>
      </c>
      <c r="Y193" s="169" t="s">
        <v>145</v>
      </c>
      <c r="Z193" s="171"/>
      <c r="AA193" s="171"/>
      <c r="AB193" s="171"/>
      <c r="AC193" s="171"/>
      <c r="AD193" s="171"/>
      <c r="AE193" s="171"/>
      <c r="AF193" s="171"/>
      <c r="AG193" s="171" t="s">
        <v>146</v>
      </c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</row>
    <row r="194" spans="1:60" outlineLevel="2" x14ac:dyDescent="0.2">
      <c r="A194" s="172"/>
      <c r="B194" s="173"/>
      <c r="C194" s="174" t="s">
        <v>149</v>
      </c>
      <c r="D194" s="175"/>
      <c r="E194" s="176"/>
      <c r="F194" s="196"/>
      <c r="G194" s="169"/>
      <c r="H194" s="169"/>
      <c r="I194" s="169"/>
      <c r="J194" s="169"/>
      <c r="K194" s="169"/>
      <c r="L194" s="169"/>
      <c r="M194" s="169"/>
      <c r="N194" s="170"/>
      <c r="O194" s="170"/>
      <c r="P194" s="170"/>
      <c r="Q194" s="170"/>
      <c r="R194" s="169"/>
      <c r="S194" s="169"/>
      <c r="T194" s="169"/>
      <c r="U194" s="169"/>
      <c r="V194" s="169"/>
      <c r="W194" s="169"/>
      <c r="X194" s="169"/>
      <c r="Y194" s="169"/>
      <c r="Z194" s="171"/>
      <c r="AA194" s="171"/>
      <c r="AB194" s="171"/>
      <c r="AC194" s="171"/>
      <c r="AD194" s="171"/>
      <c r="AE194" s="171"/>
      <c r="AF194" s="171"/>
      <c r="AG194" s="171" t="s">
        <v>148</v>
      </c>
      <c r="AH194" s="171">
        <v>0</v>
      </c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</row>
    <row r="195" spans="1:60" ht="22.5" outlineLevel="3" x14ac:dyDescent="0.2">
      <c r="A195" s="172"/>
      <c r="B195" s="173"/>
      <c r="C195" s="174" t="s">
        <v>292</v>
      </c>
      <c r="D195" s="175"/>
      <c r="E195" s="176">
        <v>46.49</v>
      </c>
      <c r="F195" s="196"/>
      <c r="G195" s="169"/>
      <c r="H195" s="169"/>
      <c r="I195" s="169"/>
      <c r="J195" s="169"/>
      <c r="K195" s="169"/>
      <c r="L195" s="169"/>
      <c r="M195" s="169"/>
      <c r="N195" s="170"/>
      <c r="O195" s="170"/>
      <c r="P195" s="170"/>
      <c r="Q195" s="170"/>
      <c r="R195" s="169"/>
      <c r="S195" s="169"/>
      <c r="T195" s="169"/>
      <c r="U195" s="169"/>
      <c r="V195" s="169"/>
      <c r="W195" s="169"/>
      <c r="X195" s="169"/>
      <c r="Y195" s="169"/>
      <c r="Z195" s="171"/>
      <c r="AA195" s="171"/>
      <c r="AB195" s="171"/>
      <c r="AC195" s="171"/>
      <c r="AD195" s="171"/>
      <c r="AE195" s="171"/>
      <c r="AF195" s="171"/>
      <c r="AG195" s="171" t="s">
        <v>148</v>
      </c>
      <c r="AH195" s="171">
        <v>0</v>
      </c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</row>
    <row r="196" spans="1:60" outlineLevel="3" x14ac:dyDescent="0.2">
      <c r="A196" s="172"/>
      <c r="B196" s="173"/>
      <c r="C196" s="174" t="s">
        <v>151</v>
      </c>
      <c r="D196" s="175"/>
      <c r="E196" s="176"/>
      <c r="F196" s="196"/>
      <c r="G196" s="169"/>
      <c r="H196" s="169"/>
      <c r="I196" s="169"/>
      <c r="J196" s="169"/>
      <c r="K196" s="169"/>
      <c r="L196" s="169"/>
      <c r="M196" s="169"/>
      <c r="N196" s="170"/>
      <c r="O196" s="170"/>
      <c r="P196" s="170"/>
      <c r="Q196" s="170"/>
      <c r="R196" s="169"/>
      <c r="S196" s="169"/>
      <c r="T196" s="169"/>
      <c r="U196" s="169"/>
      <c r="V196" s="169"/>
      <c r="W196" s="169"/>
      <c r="X196" s="169"/>
      <c r="Y196" s="169"/>
      <c r="Z196" s="171"/>
      <c r="AA196" s="171"/>
      <c r="AB196" s="171"/>
      <c r="AC196" s="171"/>
      <c r="AD196" s="171"/>
      <c r="AE196" s="171"/>
      <c r="AF196" s="171"/>
      <c r="AG196" s="171" t="s">
        <v>148</v>
      </c>
      <c r="AH196" s="171">
        <v>0</v>
      </c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</row>
    <row r="197" spans="1:60" ht="22.5" outlineLevel="3" x14ac:dyDescent="0.2">
      <c r="A197" s="172"/>
      <c r="B197" s="173"/>
      <c r="C197" s="174" t="s">
        <v>293</v>
      </c>
      <c r="D197" s="175"/>
      <c r="E197" s="176">
        <v>46.26</v>
      </c>
      <c r="F197" s="196"/>
      <c r="G197" s="169"/>
      <c r="H197" s="169"/>
      <c r="I197" s="169"/>
      <c r="J197" s="169"/>
      <c r="K197" s="169"/>
      <c r="L197" s="169"/>
      <c r="M197" s="169"/>
      <c r="N197" s="170"/>
      <c r="O197" s="170"/>
      <c r="P197" s="170"/>
      <c r="Q197" s="170"/>
      <c r="R197" s="169"/>
      <c r="S197" s="169"/>
      <c r="T197" s="169"/>
      <c r="U197" s="169"/>
      <c r="V197" s="169"/>
      <c r="W197" s="169"/>
      <c r="X197" s="169"/>
      <c r="Y197" s="169"/>
      <c r="Z197" s="171"/>
      <c r="AA197" s="171"/>
      <c r="AB197" s="171"/>
      <c r="AC197" s="171"/>
      <c r="AD197" s="171"/>
      <c r="AE197" s="171"/>
      <c r="AF197" s="171"/>
      <c r="AG197" s="171" t="s">
        <v>148</v>
      </c>
      <c r="AH197" s="171">
        <v>0</v>
      </c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</row>
    <row r="198" spans="1:60" outlineLevel="3" x14ac:dyDescent="0.2">
      <c r="A198" s="172"/>
      <c r="B198" s="173"/>
      <c r="C198" s="174" t="s">
        <v>152</v>
      </c>
      <c r="D198" s="175"/>
      <c r="E198" s="176"/>
      <c r="F198" s="196"/>
      <c r="G198" s="169"/>
      <c r="H198" s="169"/>
      <c r="I198" s="169"/>
      <c r="J198" s="169"/>
      <c r="K198" s="169"/>
      <c r="L198" s="169"/>
      <c r="M198" s="169"/>
      <c r="N198" s="170"/>
      <c r="O198" s="170"/>
      <c r="P198" s="170"/>
      <c r="Q198" s="170"/>
      <c r="R198" s="169"/>
      <c r="S198" s="169"/>
      <c r="T198" s="169"/>
      <c r="U198" s="169"/>
      <c r="V198" s="169"/>
      <c r="W198" s="169"/>
      <c r="X198" s="169"/>
      <c r="Y198" s="169"/>
      <c r="Z198" s="171"/>
      <c r="AA198" s="171"/>
      <c r="AB198" s="171"/>
      <c r="AC198" s="171"/>
      <c r="AD198" s="171"/>
      <c r="AE198" s="171"/>
      <c r="AF198" s="171"/>
      <c r="AG198" s="171" t="s">
        <v>148</v>
      </c>
      <c r="AH198" s="171">
        <v>0</v>
      </c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</row>
    <row r="199" spans="1:60" ht="22.5" outlineLevel="3" x14ac:dyDescent="0.2">
      <c r="A199" s="172"/>
      <c r="B199" s="173"/>
      <c r="C199" s="174" t="s">
        <v>294</v>
      </c>
      <c r="D199" s="175"/>
      <c r="E199" s="176">
        <v>45.79</v>
      </c>
      <c r="F199" s="196"/>
      <c r="G199" s="169"/>
      <c r="H199" s="169"/>
      <c r="I199" s="169"/>
      <c r="J199" s="169"/>
      <c r="K199" s="169"/>
      <c r="L199" s="169"/>
      <c r="M199" s="169"/>
      <c r="N199" s="170"/>
      <c r="O199" s="170"/>
      <c r="P199" s="170"/>
      <c r="Q199" s="170"/>
      <c r="R199" s="169"/>
      <c r="S199" s="169"/>
      <c r="T199" s="169"/>
      <c r="U199" s="169"/>
      <c r="V199" s="169"/>
      <c r="W199" s="169"/>
      <c r="X199" s="169"/>
      <c r="Y199" s="169"/>
      <c r="Z199" s="171"/>
      <c r="AA199" s="171"/>
      <c r="AB199" s="171"/>
      <c r="AC199" s="171"/>
      <c r="AD199" s="171"/>
      <c r="AE199" s="171"/>
      <c r="AF199" s="171"/>
      <c r="AG199" s="171" t="s">
        <v>148</v>
      </c>
      <c r="AH199" s="171">
        <v>0</v>
      </c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  <c r="BG199" s="171"/>
      <c r="BH199" s="171"/>
    </row>
    <row r="200" spans="1:60" outlineLevel="1" x14ac:dyDescent="0.2">
      <c r="A200" s="162">
        <v>25</v>
      </c>
      <c r="B200" s="163" t="s">
        <v>295</v>
      </c>
      <c r="C200" s="164" t="s">
        <v>296</v>
      </c>
      <c r="D200" s="165" t="s">
        <v>230</v>
      </c>
      <c r="E200" s="166">
        <v>6</v>
      </c>
      <c r="F200" s="140"/>
      <c r="G200" s="167">
        <f>ROUND(E200*F200,2)</f>
        <v>0</v>
      </c>
      <c r="H200" s="168"/>
      <c r="I200" s="169">
        <f>ROUND(E200*H200,2)</f>
        <v>0</v>
      </c>
      <c r="J200" s="168"/>
      <c r="K200" s="169">
        <f>ROUND(E200*J200,2)</f>
        <v>0</v>
      </c>
      <c r="L200" s="169">
        <v>21</v>
      </c>
      <c r="M200" s="169">
        <f>G200*(1+L200/100)</f>
        <v>0</v>
      </c>
      <c r="N200" s="170">
        <v>4.0000000000000003E-5</v>
      </c>
      <c r="O200" s="170">
        <f>ROUND(E200*N200,2)</f>
        <v>0</v>
      </c>
      <c r="P200" s="170">
        <v>0</v>
      </c>
      <c r="Q200" s="170">
        <f>ROUND(E200*P200,2)</f>
        <v>0</v>
      </c>
      <c r="R200" s="169"/>
      <c r="S200" s="169" t="s">
        <v>143</v>
      </c>
      <c r="T200" s="169" t="s">
        <v>143</v>
      </c>
      <c r="U200" s="169">
        <v>0.25</v>
      </c>
      <c r="V200" s="169">
        <f>ROUND(E200*U200,2)</f>
        <v>1.5</v>
      </c>
      <c r="W200" s="169"/>
      <c r="X200" s="169" t="s">
        <v>144</v>
      </c>
      <c r="Y200" s="169" t="s">
        <v>145</v>
      </c>
      <c r="Z200" s="171"/>
      <c r="AA200" s="171"/>
      <c r="AB200" s="171"/>
      <c r="AC200" s="171"/>
      <c r="AD200" s="171"/>
      <c r="AE200" s="171"/>
      <c r="AF200" s="171"/>
      <c r="AG200" s="171" t="s">
        <v>146</v>
      </c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  <c r="BE200" s="171"/>
      <c r="BF200" s="171"/>
      <c r="BG200" s="171"/>
      <c r="BH200" s="171"/>
    </row>
    <row r="201" spans="1:60" outlineLevel="2" x14ac:dyDescent="0.2">
      <c r="A201" s="172"/>
      <c r="B201" s="173"/>
      <c r="C201" s="174" t="s">
        <v>149</v>
      </c>
      <c r="D201" s="175"/>
      <c r="E201" s="176"/>
      <c r="F201" s="196"/>
      <c r="G201" s="169"/>
      <c r="H201" s="169"/>
      <c r="I201" s="169"/>
      <c r="J201" s="169"/>
      <c r="K201" s="169"/>
      <c r="L201" s="169"/>
      <c r="M201" s="169"/>
      <c r="N201" s="170"/>
      <c r="O201" s="170"/>
      <c r="P201" s="170"/>
      <c r="Q201" s="170"/>
      <c r="R201" s="169"/>
      <c r="S201" s="169"/>
      <c r="T201" s="169"/>
      <c r="U201" s="169"/>
      <c r="V201" s="169"/>
      <c r="W201" s="169"/>
      <c r="X201" s="169"/>
      <c r="Y201" s="169"/>
      <c r="Z201" s="171"/>
      <c r="AA201" s="171"/>
      <c r="AB201" s="171"/>
      <c r="AC201" s="171"/>
      <c r="AD201" s="171"/>
      <c r="AE201" s="171"/>
      <c r="AF201" s="171"/>
      <c r="AG201" s="171" t="s">
        <v>148</v>
      </c>
      <c r="AH201" s="171">
        <v>0</v>
      </c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</row>
    <row r="202" spans="1:60" outlineLevel="3" x14ac:dyDescent="0.2">
      <c r="A202" s="172"/>
      <c r="B202" s="173"/>
      <c r="C202" s="174" t="s">
        <v>297</v>
      </c>
      <c r="D202" s="175"/>
      <c r="E202" s="176">
        <v>2</v>
      </c>
      <c r="F202" s="196"/>
      <c r="G202" s="169"/>
      <c r="H202" s="169"/>
      <c r="I202" s="169"/>
      <c r="J202" s="169"/>
      <c r="K202" s="169"/>
      <c r="L202" s="169"/>
      <c r="M202" s="169"/>
      <c r="N202" s="170"/>
      <c r="O202" s="170"/>
      <c r="P202" s="170"/>
      <c r="Q202" s="170"/>
      <c r="R202" s="169"/>
      <c r="S202" s="169"/>
      <c r="T202" s="169"/>
      <c r="U202" s="169"/>
      <c r="V202" s="169"/>
      <c r="W202" s="169"/>
      <c r="X202" s="169"/>
      <c r="Y202" s="169"/>
      <c r="Z202" s="171"/>
      <c r="AA202" s="171"/>
      <c r="AB202" s="171"/>
      <c r="AC202" s="171"/>
      <c r="AD202" s="171"/>
      <c r="AE202" s="171"/>
      <c r="AF202" s="171"/>
      <c r="AG202" s="171" t="s">
        <v>148</v>
      </c>
      <c r="AH202" s="171">
        <v>0</v>
      </c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  <c r="AY202" s="171"/>
      <c r="AZ202" s="171"/>
      <c r="BA202" s="171"/>
      <c r="BB202" s="171"/>
      <c r="BC202" s="171"/>
      <c r="BD202" s="171"/>
      <c r="BE202" s="171"/>
      <c r="BF202" s="171"/>
      <c r="BG202" s="171"/>
      <c r="BH202" s="171"/>
    </row>
    <row r="203" spans="1:60" outlineLevel="3" x14ac:dyDescent="0.2">
      <c r="A203" s="172"/>
      <c r="B203" s="173"/>
      <c r="C203" s="174" t="s">
        <v>151</v>
      </c>
      <c r="D203" s="175"/>
      <c r="E203" s="176"/>
      <c r="F203" s="196"/>
      <c r="G203" s="169"/>
      <c r="H203" s="169"/>
      <c r="I203" s="169"/>
      <c r="J203" s="169"/>
      <c r="K203" s="169"/>
      <c r="L203" s="169"/>
      <c r="M203" s="169"/>
      <c r="N203" s="170"/>
      <c r="O203" s="170"/>
      <c r="P203" s="170"/>
      <c r="Q203" s="170"/>
      <c r="R203" s="169"/>
      <c r="S203" s="169"/>
      <c r="T203" s="169"/>
      <c r="U203" s="169"/>
      <c r="V203" s="169"/>
      <c r="W203" s="169"/>
      <c r="X203" s="169"/>
      <c r="Y203" s="169"/>
      <c r="Z203" s="171"/>
      <c r="AA203" s="171"/>
      <c r="AB203" s="171"/>
      <c r="AC203" s="171"/>
      <c r="AD203" s="171"/>
      <c r="AE203" s="171"/>
      <c r="AF203" s="171"/>
      <c r="AG203" s="171" t="s">
        <v>148</v>
      </c>
      <c r="AH203" s="171">
        <v>0</v>
      </c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  <c r="BE203" s="171"/>
      <c r="BF203" s="171"/>
      <c r="BG203" s="171"/>
      <c r="BH203" s="171"/>
    </row>
    <row r="204" spans="1:60" outlineLevel="3" x14ac:dyDescent="0.2">
      <c r="A204" s="172"/>
      <c r="B204" s="173"/>
      <c r="C204" s="174" t="s">
        <v>297</v>
      </c>
      <c r="D204" s="175"/>
      <c r="E204" s="176">
        <v>2</v>
      </c>
      <c r="F204" s="196"/>
      <c r="G204" s="169"/>
      <c r="H204" s="169"/>
      <c r="I204" s="169"/>
      <c r="J204" s="169"/>
      <c r="K204" s="169"/>
      <c r="L204" s="169"/>
      <c r="M204" s="169"/>
      <c r="N204" s="170"/>
      <c r="O204" s="170"/>
      <c r="P204" s="170"/>
      <c r="Q204" s="170"/>
      <c r="R204" s="169"/>
      <c r="S204" s="169"/>
      <c r="T204" s="169"/>
      <c r="U204" s="169"/>
      <c r="V204" s="169"/>
      <c r="W204" s="169"/>
      <c r="X204" s="169"/>
      <c r="Y204" s="169"/>
      <c r="Z204" s="171"/>
      <c r="AA204" s="171"/>
      <c r="AB204" s="171"/>
      <c r="AC204" s="171"/>
      <c r="AD204" s="171"/>
      <c r="AE204" s="171"/>
      <c r="AF204" s="171"/>
      <c r="AG204" s="171" t="s">
        <v>148</v>
      </c>
      <c r="AH204" s="171">
        <v>0</v>
      </c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71"/>
      <c r="BB204" s="171"/>
      <c r="BC204" s="171"/>
      <c r="BD204" s="171"/>
      <c r="BE204" s="171"/>
      <c r="BF204" s="171"/>
      <c r="BG204" s="171"/>
      <c r="BH204" s="171"/>
    </row>
    <row r="205" spans="1:60" outlineLevel="3" x14ac:dyDescent="0.2">
      <c r="A205" s="172"/>
      <c r="B205" s="173"/>
      <c r="C205" s="174" t="s">
        <v>152</v>
      </c>
      <c r="D205" s="175"/>
      <c r="E205" s="176"/>
      <c r="F205" s="196"/>
      <c r="G205" s="169"/>
      <c r="H205" s="169"/>
      <c r="I205" s="169"/>
      <c r="J205" s="169"/>
      <c r="K205" s="169"/>
      <c r="L205" s="169"/>
      <c r="M205" s="169"/>
      <c r="N205" s="170"/>
      <c r="O205" s="170"/>
      <c r="P205" s="170"/>
      <c r="Q205" s="170"/>
      <c r="R205" s="169"/>
      <c r="S205" s="169"/>
      <c r="T205" s="169"/>
      <c r="U205" s="169"/>
      <c r="V205" s="169"/>
      <c r="W205" s="169"/>
      <c r="X205" s="169"/>
      <c r="Y205" s="169"/>
      <c r="Z205" s="171"/>
      <c r="AA205" s="171"/>
      <c r="AB205" s="171"/>
      <c r="AC205" s="171"/>
      <c r="AD205" s="171"/>
      <c r="AE205" s="171"/>
      <c r="AF205" s="171"/>
      <c r="AG205" s="171" t="s">
        <v>148</v>
      </c>
      <c r="AH205" s="171">
        <v>0</v>
      </c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</row>
    <row r="206" spans="1:60" outlineLevel="3" x14ac:dyDescent="0.2">
      <c r="A206" s="172"/>
      <c r="B206" s="173"/>
      <c r="C206" s="174" t="s">
        <v>297</v>
      </c>
      <c r="D206" s="175"/>
      <c r="E206" s="176">
        <v>2</v>
      </c>
      <c r="F206" s="196"/>
      <c r="G206" s="169"/>
      <c r="H206" s="169"/>
      <c r="I206" s="169"/>
      <c r="J206" s="169"/>
      <c r="K206" s="169"/>
      <c r="L206" s="169"/>
      <c r="M206" s="169"/>
      <c r="N206" s="170"/>
      <c r="O206" s="170"/>
      <c r="P206" s="170"/>
      <c r="Q206" s="170"/>
      <c r="R206" s="169"/>
      <c r="S206" s="169"/>
      <c r="T206" s="169"/>
      <c r="U206" s="169"/>
      <c r="V206" s="169"/>
      <c r="W206" s="169"/>
      <c r="X206" s="169"/>
      <c r="Y206" s="169"/>
      <c r="Z206" s="171"/>
      <c r="AA206" s="171"/>
      <c r="AB206" s="171"/>
      <c r="AC206" s="171"/>
      <c r="AD206" s="171"/>
      <c r="AE206" s="171"/>
      <c r="AF206" s="171"/>
      <c r="AG206" s="171" t="s">
        <v>148</v>
      </c>
      <c r="AH206" s="171">
        <v>0</v>
      </c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1"/>
      <c r="AT206" s="171"/>
      <c r="AU206" s="171"/>
      <c r="AV206" s="171"/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1"/>
      <c r="BG206" s="171"/>
      <c r="BH206" s="171"/>
    </row>
    <row r="207" spans="1:60" outlineLevel="1" x14ac:dyDescent="0.2">
      <c r="A207" s="177">
        <v>26</v>
      </c>
      <c r="B207" s="178" t="s">
        <v>298</v>
      </c>
      <c r="C207" s="179" t="s">
        <v>299</v>
      </c>
      <c r="D207" s="180" t="s">
        <v>300</v>
      </c>
      <c r="E207" s="181">
        <v>1</v>
      </c>
      <c r="F207" s="141"/>
      <c r="G207" s="182">
        <f>ROUND(E207*F207,2)</f>
        <v>0</v>
      </c>
      <c r="H207" s="168"/>
      <c r="I207" s="169">
        <f>ROUND(E207*H207,2)</f>
        <v>0</v>
      </c>
      <c r="J207" s="168"/>
      <c r="K207" s="169">
        <f>ROUND(E207*J207,2)</f>
        <v>0</v>
      </c>
      <c r="L207" s="169">
        <v>21</v>
      </c>
      <c r="M207" s="169">
        <f>G207*(1+L207/100)</f>
        <v>0</v>
      </c>
      <c r="N207" s="170">
        <v>0</v>
      </c>
      <c r="O207" s="170">
        <f>ROUND(E207*N207,2)</f>
        <v>0</v>
      </c>
      <c r="P207" s="170">
        <v>0</v>
      </c>
      <c r="Q207" s="170">
        <f>ROUND(E207*P207,2)</f>
        <v>0</v>
      </c>
      <c r="R207" s="169"/>
      <c r="S207" s="169" t="s">
        <v>213</v>
      </c>
      <c r="T207" s="169" t="s">
        <v>214</v>
      </c>
      <c r="U207" s="169">
        <v>0</v>
      </c>
      <c r="V207" s="169">
        <f>ROUND(E207*U207,2)</f>
        <v>0</v>
      </c>
      <c r="W207" s="169"/>
      <c r="X207" s="169" t="s">
        <v>144</v>
      </c>
      <c r="Y207" s="169" t="s">
        <v>145</v>
      </c>
      <c r="Z207" s="171"/>
      <c r="AA207" s="171"/>
      <c r="AB207" s="171"/>
      <c r="AC207" s="171"/>
      <c r="AD207" s="171"/>
      <c r="AE207" s="171"/>
      <c r="AF207" s="171"/>
      <c r="AG207" s="171" t="s">
        <v>146</v>
      </c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</row>
    <row r="208" spans="1:60" outlineLevel="1" x14ac:dyDescent="0.2">
      <c r="A208" s="177">
        <v>27</v>
      </c>
      <c r="B208" s="178" t="s">
        <v>301</v>
      </c>
      <c r="C208" s="179" t="s">
        <v>302</v>
      </c>
      <c r="D208" s="180" t="s">
        <v>300</v>
      </c>
      <c r="E208" s="181">
        <v>1</v>
      </c>
      <c r="F208" s="141"/>
      <c r="G208" s="182">
        <f>ROUND(E208*F208,2)</f>
        <v>0</v>
      </c>
      <c r="H208" s="168"/>
      <c r="I208" s="169">
        <f>ROUND(E208*H208,2)</f>
        <v>0</v>
      </c>
      <c r="J208" s="168"/>
      <c r="K208" s="169">
        <f>ROUND(E208*J208,2)</f>
        <v>0</v>
      </c>
      <c r="L208" s="169">
        <v>21</v>
      </c>
      <c r="M208" s="169">
        <f>G208*(1+L208/100)</f>
        <v>0</v>
      </c>
      <c r="N208" s="170">
        <v>0</v>
      </c>
      <c r="O208" s="170">
        <f>ROUND(E208*N208,2)</f>
        <v>0</v>
      </c>
      <c r="P208" s="170">
        <v>0</v>
      </c>
      <c r="Q208" s="170">
        <f>ROUND(E208*P208,2)</f>
        <v>0</v>
      </c>
      <c r="R208" s="169"/>
      <c r="S208" s="169" t="s">
        <v>213</v>
      </c>
      <c r="T208" s="169" t="s">
        <v>214</v>
      </c>
      <c r="U208" s="169">
        <v>0</v>
      </c>
      <c r="V208" s="169">
        <f>ROUND(E208*U208,2)</f>
        <v>0</v>
      </c>
      <c r="W208" s="169"/>
      <c r="X208" s="169" t="s">
        <v>144</v>
      </c>
      <c r="Y208" s="169" t="s">
        <v>145</v>
      </c>
      <c r="Z208" s="171"/>
      <c r="AA208" s="171"/>
      <c r="AB208" s="171"/>
      <c r="AC208" s="171"/>
      <c r="AD208" s="171"/>
      <c r="AE208" s="171"/>
      <c r="AF208" s="171"/>
      <c r="AG208" s="171" t="s">
        <v>146</v>
      </c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</row>
    <row r="209" spans="1:60" outlineLevel="1" x14ac:dyDescent="0.2">
      <c r="A209" s="177">
        <v>28</v>
      </c>
      <c r="B209" s="178" t="s">
        <v>303</v>
      </c>
      <c r="C209" s="179" t="s">
        <v>304</v>
      </c>
      <c r="D209" s="180" t="s">
        <v>300</v>
      </c>
      <c r="E209" s="181">
        <v>1</v>
      </c>
      <c r="F209" s="141"/>
      <c r="G209" s="182">
        <f>ROUND(E209*F209,2)</f>
        <v>0</v>
      </c>
      <c r="H209" s="168"/>
      <c r="I209" s="169">
        <f>ROUND(E209*H209,2)</f>
        <v>0</v>
      </c>
      <c r="J209" s="168"/>
      <c r="K209" s="169">
        <f>ROUND(E209*J209,2)</f>
        <v>0</v>
      </c>
      <c r="L209" s="169">
        <v>21</v>
      </c>
      <c r="M209" s="169">
        <f>G209*(1+L209/100)</f>
        <v>0</v>
      </c>
      <c r="N209" s="170">
        <v>0</v>
      </c>
      <c r="O209" s="170">
        <f>ROUND(E209*N209,2)</f>
        <v>0</v>
      </c>
      <c r="P209" s="170">
        <v>0</v>
      </c>
      <c r="Q209" s="170">
        <f>ROUND(E209*P209,2)</f>
        <v>0</v>
      </c>
      <c r="R209" s="169"/>
      <c r="S209" s="169" t="s">
        <v>213</v>
      </c>
      <c r="T209" s="169" t="s">
        <v>214</v>
      </c>
      <c r="U209" s="169">
        <v>0</v>
      </c>
      <c r="V209" s="169">
        <f>ROUND(E209*U209,2)</f>
        <v>0</v>
      </c>
      <c r="W209" s="169"/>
      <c r="X209" s="169" t="s">
        <v>144</v>
      </c>
      <c r="Y209" s="169" t="s">
        <v>145</v>
      </c>
      <c r="Z209" s="171"/>
      <c r="AA209" s="171"/>
      <c r="AB209" s="171"/>
      <c r="AC209" s="171"/>
      <c r="AD209" s="171"/>
      <c r="AE209" s="171"/>
      <c r="AF209" s="171"/>
      <c r="AG209" s="171" t="s">
        <v>146</v>
      </c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</row>
    <row r="210" spans="1:60" outlineLevel="1" x14ac:dyDescent="0.2">
      <c r="A210" s="177">
        <v>29</v>
      </c>
      <c r="B210" s="178" t="s">
        <v>305</v>
      </c>
      <c r="C210" s="179" t="s">
        <v>306</v>
      </c>
      <c r="D210" s="180" t="s">
        <v>300</v>
      </c>
      <c r="E210" s="181">
        <v>1</v>
      </c>
      <c r="F210" s="141"/>
      <c r="G210" s="182">
        <f>ROUND(E210*F210,2)</f>
        <v>0</v>
      </c>
      <c r="H210" s="168"/>
      <c r="I210" s="169">
        <f>ROUND(E210*H210,2)</f>
        <v>0</v>
      </c>
      <c r="J210" s="168"/>
      <c r="K210" s="169">
        <f>ROUND(E210*J210,2)</f>
        <v>0</v>
      </c>
      <c r="L210" s="169">
        <v>21</v>
      </c>
      <c r="M210" s="169">
        <f>G210*(1+L210/100)</f>
        <v>0</v>
      </c>
      <c r="N210" s="170">
        <v>0</v>
      </c>
      <c r="O210" s="170">
        <f>ROUND(E210*N210,2)</f>
        <v>0</v>
      </c>
      <c r="P210" s="170">
        <v>0</v>
      </c>
      <c r="Q210" s="170">
        <f>ROUND(E210*P210,2)</f>
        <v>0</v>
      </c>
      <c r="R210" s="169"/>
      <c r="S210" s="169" t="s">
        <v>213</v>
      </c>
      <c r="T210" s="169" t="s">
        <v>214</v>
      </c>
      <c r="U210" s="169">
        <v>0</v>
      </c>
      <c r="V210" s="169">
        <f>ROUND(E210*U210,2)</f>
        <v>0</v>
      </c>
      <c r="W210" s="169"/>
      <c r="X210" s="169" t="s">
        <v>144</v>
      </c>
      <c r="Y210" s="169" t="s">
        <v>145</v>
      </c>
      <c r="Z210" s="171"/>
      <c r="AA210" s="171"/>
      <c r="AB210" s="171"/>
      <c r="AC210" s="171"/>
      <c r="AD210" s="171"/>
      <c r="AE210" s="171"/>
      <c r="AF210" s="171"/>
      <c r="AG210" s="171" t="s">
        <v>146</v>
      </c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</row>
    <row r="211" spans="1:60" outlineLevel="1" x14ac:dyDescent="0.2">
      <c r="A211" s="177">
        <v>30</v>
      </c>
      <c r="B211" s="178" t="s">
        <v>307</v>
      </c>
      <c r="C211" s="179" t="s">
        <v>308</v>
      </c>
      <c r="D211" s="180" t="s">
        <v>230</v>
      </c>
      <c r="E211" s="181">
        <v>6</v>
      </c>
      <c r="F211" s="141"/>
      <c r="G211" s="182">
        <f>ROUND(E211*F211,2)</f>
        <v>0</v>
      </c>
      <c r="H211" s="168"/>
      <c r="I211" s="169">
        <f>ROUND(E211*H211,2)</f>
        <v>0</v>
      </c>
      <c r="J211" s="168"/>
      <c r="K211" s="169">
        <f>ROUND(E211*J211,2)</f>
        <v>0</v>
      </c>
      <c r="L211" s="169">
        <v>21</v>
      </c>
      <c r="M211" s="169">
        <f>G211*(1+L211/100)</f>
        <v>0</v>
      </c>
      <c r="N211" s="170">
        <v>2.0999999999999999E-3</v>
      </c>
      <c r="O211" s="170">
        <f>ROUND(E211*N211,2)</f>
        <v>0.01</v>
      </c>
      <c r="P211" s="170">
        <v>0</v>
      </c>
      <c r="Q211" s="170">
        <f>ROUND(E211*P211,2)</f>
        <v>0</v>
      </c>
      <c r="R211" s="169" t="s">
        <v>224</v>
      </c>
      <c r="S211" s="169" t="s">
        <v>143</v>
      </c>
      <c r="T211" s="169" t="s">
        <v>143</v>
      </c>
      <c r="U211" s="169">
        <v>0</v>
      </c>
      <c r="V211" s="169">
        <f>ROUND(E211*U211,2)</f>
        <v>0</v>
      </c>
      <c r="W211" s="169"/>
      <c r="X211" s="169" t="s">
        <v>225</v>
      </c>
      <c r="Y211" s="169" t="s">
        <v>145</v>
      </c>
      <c r="Z211" s="171"/>
      <c r="AA211" s="171"/>
      <c r="AB211" s="171"/>
      <c r="AC211" s="171"/>
      <c r="AD211" s="171"/>
      <c r="AE211" s="171"/>
      <c r="AF211" s="171"/>
      <c r="AG211" s="171" t="s">
        <v>226</v>
      </c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</row>
    <row r="212" spans="1:60" x14ac:dyDescent="0.2">
      <c r="A212" s="153" t="s">
        <v>138</v>
      </c>
      <c r="B212" s="154" t="s">
        <v>77</v>
      </c>
      <c r="C212" s="155" t="s">
        <v>78</v>
      </c>
      <c r="D212" s="156"/>
      <c r="E212" s="157"/>
      <c r="F212" s="197"/>
      <c r="G212" s="159">
        <f>SUMIF(AG213:AG402,"&lt;&gt;NOR",G213:G402)</f>
        <v>0</v>
      </c>
      <c r="H212" s="160"/>
      <c r="I212" s="160">
        <f>SUM(I213:I402)</f>
        <v>0</v>
      </c>
      <c r="J212" s="160"/>
      <c r="K212" s="160">
        <f>SUM(K213:K402)</f>
        <v>0</v>
      </c>
      <c r="L212" s="160"/>
      <c r="M212" s="160">
        <f>SUM(M213:M402)</f>
        <v>0</v>
      </c>
      <c r="N212" s="161"/>
      <c r="O212" s="161">
        <f>SUM(O213:O402)</f>
        <v>7.0000000000000007E-2</v>
      </c>
      <c r="P212" s="161"/>
      <c r="Q212" s="161">
        <f>SUM(Q213:Q402)</f>
        <v>59.589999999999989</v>
      </c>
      <c r="R212" s="160"/>
      <c r="S212" s="160"/>
      <c r="T212" s="160"/>
      <c r="U212" s="160"/>
      <c r="V212" s="160">
        <f>SUM(V213:V402)</f>
        <v>327.25</v>
      </c>
      <c r="W212" s="160"/>
      <c r="X212" s="160"/>
      <c r="Y212" s="160"/>
      <c r="AG212" t="s">
        <v>139</v>
      </c>
    </row>
    <row r="213" spans="1:60" outlineLevel="1" x14ac:dyDescent="0.2">
      <c r="A213" s="162">
        <v>31</v>
      </c>
      <c r="B213" s="163" t="s">
        <v>309</v>
      </c>
      <c r="C213" s="164" t="s">
        <v>310</v>
      </c>
      <c r="D213" s="165" t="s">
        <v>159</v>
      </c>
      <c r="E213" s="166">
        <v>20.442499999999999</v>
      </c>
      <c r="F213" s="140"/>
      <c r="G213" s="167">
        <f>ROUND(E213*F213,2)</f>
        <v>0</v>
      </c>
      <c r="H213" s="168"/>
      <c r="I213" s="169">
        <f>ROUND(E213*H213,2)</f>
        <v>0</v>
      </c>
      <c r="J213" s="168"/>
      <c r="K213" s="169">
        <f>ROUND(E213*J213,2)</f>
        <v>0</v>
      </c>
      <c r="L213" s="169">
        <v>21</v>
      </c>
      <c r="M213" s="169">
        <f>G213*(1+L213/100)</f>
        <v>0</v>
      </c>
      <c r="N213" s="170">
        <v>6.7000000000000002E-4</v>
      </c>
      <c r="O213" s="170">
        <f>ROUND(E213*N213,2)</f>
        <v>0.01</v>
      </c>
      <c r="P213" s="170">
        <v>0.184</v>
      </c>
      <c r="Q213" s="170">
        <f>ROUND(E213*P213,2)</f>
        <v>3.76</v>
      </c>
      <c r="R213" s="169"/>
      <c r="S213" s="169" t="s">
        <v>143</v>
      </c>
      <c r="T213" s="169" t="s">
        <v>143</v>
      </c>
      <c r="U213" s="169">
        <v>0.22700000000000001</v>
      </c>
      <c r="V213" s="169">
        <f>ROUND(E213*U213,2)</f>
        <v>4.6399999999999997</v>
      </c>
      <c r="W213" s="169"/>
      <c r="X213" s="169" t="s">
        <v>144</v>
      </c>
      <c r="Y213" s="169" t="s">
        <v>145</v>
      </c>
      <c r="Z213" s="171"/>
      <c r="AA213" s="171"/>
      <c r="AB213" s="171"/>
      <c r="AC213" s="171"/>
      <c r="AD213" s="171"/>
      <c r="AE213" s="171"/>
      <c r="AF213" s="171"/>
      <c r="AG213" s="171" t="s">
        <v>146</v>
      </c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</row>
    <row r="214" spans="1:60" outlineLevel="2" x14ac:dyDescent="0.2">
      <c r="A214" s="172"/>
      <c r="B214" s="173"/>
      <c r="C214" s="174" t="s">
        <v>149</v>
      </c>
      <c r="D214" s="175"/>
      <c r="E214" s="176"/>
      <c r="F214" s="196"/>
      <c r="G214" s="169"/>
      <c r="H214" s="169"/>
      <c r="I214" s="169"/>
      <c r="J214" s="169"/>
      <c r="K214" s="169"/>
      <c r="L214" s="169"/>
      <c r="M214" s="169"/>
      <c r="N214" s="170"/>
      <c r="O214" s="170"/>
      <c r="P214" s="170"/>
      <c r="Q214" s="170"/>
      <c r="R214" s="169"/>
      <c r="S214" s="169"/>
      <c r="T214" s="169"/>
      <c r="U214" s="169"/>
      <c r="V214" s="169"/>
      <c r="W214" s="169"/>
      <c r="X214" s="169"/>
      <c r="Y214" s="169"/>
      <c r="Z214" s="171"/>
      <c r="AA214" s="171"/>
      <c r="AB214" s="171"/>
      <c r="AC214" s="171"/>
      <c r="AD214" s="171"/>
      <c r="AE214" s="171"/>
      <c r="AF214" s="171"/>
      <c r="AG214" s="171" t="s">
        <v>148</v>
      </c>
      <c r="AH214" s="171">
        <v>0</v>
      </c>
      <c r="AI214" s="171"/>
      <c r="AJ214" s="171"/>
      <c r="AK214" s="171"/>
      <c r="AL214" s="171"/>
      <c r="AM214" s="171"/>
      <c r="AN214" s="171"/>
      <c r="AO214" s="171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</row>
    <row r="215" spans="1:60" outlineLevel="3" x14ac:dyDescent="0.2">
      <c r="A215" s="172"/>
      <c r="B215" s="173"/>
      <c r="C215" s="174" t="s">
        <v>311</v>
      </c>
      <c r="D215" s="175"/>
      <c r="E215" s="176">
        <v>3.5750000000000002</v>
      </c>
      <c r="F215" s="196"/>
      <c r="G215" s="169"/>
      <c r="H215" s="169"/>
      <c r="I215" s="169"/>
      <c r="J215" s="169"/>
      <c r="K215" s="169"/>
      <c r="L215" s="169"/>
      <c r="M215" s="169"/>
      <c r="N215" s="170"/>
      <c r="O215" s="170"/>
      <c r="P215" s="170"/>
      <c r="Q215" s="170"/>
      <c r="R215" s="169"/>
      <c r="S215" s="169"/>
      <c r="T215" s="169"/>
      <c r="U215" s="169"/>
      <c r="V215" s="169"/>
      <c r="W215" s="169"/>
      <c r="X215" s="169"/>
      <c r="Y215" s="169"/>
      <c r="Z215" s="171"/>
      <c r="AA215" s="171"/>
      <c r="AB215" s="171"/>
      <c r="AC215" s="171"/>
      <c r="AD215" s="171"/>
      <c r="AE215" s="171"/>
      <c r="AF215" s="171"/>
      <c r="AG215" s="171" t="s">
        <v>148</v>
      </c>
      <c r="AH215" s="171">
        <v>0</v>
      </c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</row>
    <row r="216" spans="1:60" outlineLevel="3" x14ac:dyDescent="0.2">
      <c r="A216" s="172"/>
      <c r="B216" s="173"/>
      <c r="C216" s="174" t="s">
        <v>312</v>
      </c>
      <c r="D216" s="175"/>
      <c r="E216" s="176">
        <v>3.1850000000000001</v>
      </c>
      <c r="F216" s="196"/>
      <c r="G216" s="169"/>
      <c r="H216" s="169"/>
      <c r="I216" s="169"/>
      <c r="J216" s="169"/>
      <c r="K216" s="169"/>
      <c r="L216" s="169"/>
      <c r="M216" s="169"/>
      <c r="N216" s="170"/>
      <c r="O216" s="170"/>
      <c r="P216" s="170"/>
      <c r="Q216" s="170"/>
      <c r="R216" s="169"/>
      <c r="S216" s="169"/>
      <c r="T216" s="169"/>
      <c r="U216" s="169"/>
      <c r="V216" s="169"/>
      <c r="W216" s="169"/>
      <c r="X216" s="169"/>
      <c r="Y216" s="169"/>
      <c r="Z216" s="171"/>
      <c r="AA216" s="171"/>
      <c r="AB216" s="171"/>
      <c r="AC216" s="171"/>
      <c r="AD216" s="171"/>
      <c r="AE216" s="171"/>
      <c r="AF216" s="171"/>
      <c r="AG216" s="171" t="s">
        <v>148</v>
      </c>
      <c r="AH216" s="171">
        <v>0</v>
      </c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71"/>
      <c r="AY216" s="171"/>
      <c r="AZ216" s="171"/>
      <c r="BA216" s="171"/>
      <c r="BB216" s="171"/>
      <c r="BC216" s="171"/>
      <c r="BD216" s="171"/>
      <c r="BE216" s="171"/>
      <c r="BF216" s="171"/>
      <c r="BG216" s="171"/>
      <c r="BH216" s="171"/>
    </row>
    <row r="217" spans="1:60" outlineLevel="3" x14ac:dyDescent="0.2">
      <c r="A217" s="172"/>
      <c r="B217" s="173"/>
      <c r="C217" s="174" t="s">
        <v>151</v>
      </c>
      <c r="D217" s="175"/>
      <c r="E217" s="176"/>
      <c r="F217" s="196"/>
      <c r="G217" s="169"/>
      <c r="H217" s="169"/>
      <c r="I217" s="169"/>
      <c r="J217" s="169"/>
      <c r="K217" s="169"/>
      <c r="L217" s="169"/>
      <c r="M217" s="169"/>
      <c r="N217" s="170"/>
      <c r="O217" s="170"/>
      <c r="P217" s="170"/>
      <c r="Q217" s="170"/>
      <c r="R217" s="169"/>
      <c r="S217" s="169"/>
      <c r="T217" s="169"/>
      <c r="U217" s="169"/>
      <c r="V217" s="169"/>
      <c r="W217" s="169"/>
      <c r="X217" s="169"/>
      <c r="Y217" s="169"/>
      <c r="Z217" s="171"/>
      <c r="AA217" s="171"/>
      <c r="AB217" s="171"/>
      <c r="AC217" s="171"/>
      <c r="AD217" s="171"/>
      <c r="AE217" s="171"/>
      <c r="AF217" s="171"/>
      <c r="AG217" s="171" t="s">
        <v>148</v>
      </c>
      <c r="AH217" s="171">
        <v>0</v>
      </c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  <c r="BE217" s="171"/>
      <c r="BF217" s="171"/>
      <c r="BG217" s="171"/>
      <c r="BH217" s="171"/>
    </row>
    <row r="218" spans="1:60" outlineLevel="3" x14ac:dyDescent="0.2">
      <c r="A218" s="172"/>
      <c r="B218" s="173"/>
      <c r="C218" s="174" t="s">
        <v>311</v>
      </c>
      <c r="D218" s="175"/>
      <c r="E218" s="176">
        <v>3.5750000000000002</v>
      </c>
      <c r="F218" s="196"/>
      <c r="G218" s="169"/>
      <c r="H218" s="169"/>
      <c r="I218" s="169"/>
      <c r="J218" s="169"/>
      <c r="K218" s="169"/>
      <c r="L218" s="169"/>
      <c r="M218" s="169"/>
      <c r="N218" s="170"/>
      <c r="O218" s="170"/>
      <c r="P218" s="170"/>
      <c r="Q218" s="170"/>
      <c r="R218" s="169"/>
      <c r="S218" s="169"/>
      <c r="T218" s="169"/>
      <c r="U218" s="169"/>
      <c r="V218" s="169"/>
      <c r="W218" s="169"/>
      <c r="X218" s="169"/>
      <c r="Y218" s="169"/>
      <c r="Z218" s="171"/>
      <c r="AA218" s="171"/>
      <c r="AB218" s="171"/>
      <c r="AC218" s="171"/>
      <c r="AD218" s="171"/>
      <c r="AE218" s="171"/>
      <c r="AF218" s="171"/>
      <c r="AG218" s="171" t="s">
        <v>148</v>
      </c>
      <c r="AH218" s="171">
        <v>0</v>
      </c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71"/>
      <c r="AY218" s="171"/>
      <c r="AZ218" s="171"/>
      <c r="BA218" s="171"/>
      <c r="BB218" s="171"/>
      <c r="BC218" s="171"/>
      <c r="BD218" s="171"/>
      <c r="BE218" s="171"/>
      <c r="BF218" s="171"/>
      <c r="BG218" s="171"/>
      <c r="BH218" s="171"/>
    </row>
    <row r="219" spans="1:60" outlineLevel="3" x14ac:dyDescent="0.2">
      <c r="A219" s="172"/>
      <c r="B219" s="173"/>
      <c r="C219" s="174" t="s">
        <v>313</v>
      </c>
      <c r="D219" s="175"/>
      <c r="E219" s="176">
        <v>3.8675000000000002</v>
      </c>
      <c r="F219" s="196"/>
      <c r="G219" s="169"/>
      <c r="H219" s="169"/>
      <c r="I219" s="169"/>
      <c r="J219" s="169"/>
      <c r="K219" s="169"/>
      <c r="L219" s="169"/>
      <c r="M219" s="169"/>
      <c r="N219" s="170"/>
      <c r="O219" s="170"/>
      <c r="P219" s="170"/>
      <c r="Q219" s="170"/>
      <c r="R219" s="169"/>
      <c r="S219" s="169"/>
      <c r="T219" s="169"/>
      <c r="U219" s="169"/>
      <c r="V219" s="169"/>
      <c r="W219" s="169"/>
      <c r="X219" s="169"/>
      <c r="Y219" s="169"/>
      <c r="Z219" s="171"/>
      <c r="AA219" s="171"/>
      <c r="AB219" s="171"/>
      <c r="AC219" s="171"/>
      <c r="AD219" s="171"/>
      <c r="AE219" s="171"/>
      <c r="AF219" s="171"/>
      <c r="AG219" s="171" t="s">
        <v>148</v>
      </c>
      <c r="AH219" s="171">
        <v>0</v>
      </c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1"/>
      <c r="BG219" s="171"/>
      <c r="BH219" s="171"/>
    </row>
    <row r="220" spans="1:60" outlineLevel="3" x14ac:dyDescent="0.2">
      <c r="A220" s="172"/>
      <c r="B220" s="173"/>
      <c r="C220" s="174" t="s">
        <v>152</v>
      </c>
      <c r="D220" s="175"/>
      <c r="E220" s="176"/>
      <c r="F220" s="196"/>
      <c r="G220" s="169"/>
      <c r="H220" s="169"/>
      <c r="I220" s="169"/>
      <c r="J220" s="169"/>
      <c r="K220" s="169"/>
      <c r="L220" s="169"/>
      <c r="M220" s="169"/>
      <c r="N220" s="170"/>
      <c r="O220" s="170"/>
      <c r="P220" s="170"/>
      <c r="Q220" s="170"/>
      <c r="R220" s="169"/>
      <c r="S220" s="169"/>
      <c r="T220" s="169"/>
      <c r="U220" s="169"/>
      <c r="V220" s="169"/>
      <c r="W220" s="169"/>
      <c r="X220" s="169"/>
      <c r="Y220" s="169"/>
      <c r="Z220" s="171"/>
      <c r="AA220" s="171"/>
      <c r="AB220" s="171"/>
      <c r="AC220" s="171"/>
      <c r="AD220" s="171"/>
      <c r="AE220" s="171"/>
      <c r="AF220" s="171"/>
      <c r="AG220" s="171" t="s">
        <v>148</v>
      </c>
      <c r="AH220" s="171">
        <v>0</v>
      </c>
      <c r="AI220" s="171"/>
      <c r="AJ220" s="171"/>
      <c r="AK220" s="171"/>
      <c r="AL220" s="171"/>
      <c r="AM220" s="171"/>
      <c r="AN220" s="171"/>
      <c r="AO220" s="171"/>
      <c r="AP220" s="171"/>
      <c r="AQ220" s="171"/>
      <c r="AR220" s="171"/>
      <c r="AS220" s="171"/>
      <c r="AT220" s="171"/>
      <c r="AU220" s="171"/>
      <c r="AV220" s="171"/>
      <c r="AW220" s="171"/>
      <c r="AX220" s="171"/>
      <c r="AY220" s="171"/>
      <c r="AZ220" s="171"/>
      <c r="BA220" s="171"/>
      <c r="BB220" s="171"/>
      <c r="BC220" s="171"/>
      <c r="BD220" s="171"/>
      <c r="BE220" s="171"/>
      <c r="BF220" s="171"/>
      <c r="BG220" s="171"/>
      <c r="BH220" s="171"/>
    </row>
    <row r="221" spans="1:60" outlineLevel="3" x14ac:dyDescent="0.2">
      <c r="A221" s="172"/>
      <c r="B221" s="173"/>
      <c r="C221" s="174" t="s">
        <v>314</v>
      </c>
      <c r="D221" s="175"/>
      <c r="E221" s="176">
        <v>3.3475000000000001</v>
      </c>
      <c r="F221" s="196"/>
      <c r="G221" s="169"/>
      <c r="H221" s="169"/>
      <c r="I221" s="169"/>
      <c r="J221" s="169"/>
      <c r="K221" s="169"/>
      <c r="L221" s="169"/>
      <c r="M221" s="169"/>
      <c r="N221" s="170"/>
      <c r="O221" s="170"/>
      <c r="P221" s="170"/>
      <c r="Q221" s="170"/>
      <c r="R221" s="169"/>
      <c r="S221" s="169"/>
      <c r="T221" s="169"/>
      <c r="U221" s="169"/>
      <c r="V221" s="169"/>
      <c r="W221" s="169"/>
      <c r="X221" s="169"/>
      <c r="Y221" s="169"/>
      <c r="Z221" s="171"/>
      <c r="AA221" s="171"/>
      <c r="AB221" s="171"/>
      <c r="AC221" s="171"/>
      <c r="AD221" s="171"/>
      <c r="AE221" s="171"/>
      <c r="AF221" s="171"/>
      <c r="AG221" s="171" t="s">
        <v>148</v>
      </c>
      <c r="AH221" s="171">
        <v>0</v>
      </c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  <c r="BE221" s="171"/>
      <c r="BF221" s="171"/>
      <c r="BG221" s="171"/>
      <c r="BH221" s="171"/>
    </row>
    <row r="222" spans="1:60" outlineLevel="3" x14ac:dyDescent="0.2">
      <c r="A222" s="172"/>
      <c r="B222" s="173"/>
      <c r="C222" s="174" t="s">
        <v>315</v>
      </c>
      <c r="D222" s="175"/>
      <c r="E222" s="176">
        <v>2.8925000000000001</v>
      </c>
      <c r="F222" s="196"/>
      <c r="G222" s="169"/>
      <c r="H222" s="169"/>
      <c r="I222" s="169"/>
      <c r="J222" s="169"/>
      <c r="K222" s="169"/>
      <c r="L222" s="169"/>
      <c r="M222" s="169"/>
      <c r="N222" s="170"/>
      <c r="O222" s="170"/>
      <c r="P222" s="170"/>
      <c r="Q222" s="170"/>
      <c r="R222" s="169"/>
      <c r="S222" s="169"/>
      <c r="T222" s="169"/>
      <c r="U222" s="169"/>
      <c r="V222" s="169"/>
      <c r="W222" s="169"/>
      <c r="X222" s="169"/>
      <c r="Y222" s="169"/>
      <c r="Z222" s="171"/>
      <c r="AA222" s="171"/>
      <c r="AB222" s="171"/>
      <c r="AC222" s="171"/>
      <c r="AD222" s="171"/>
      <c r="AE222" s="171"/>
      <c r="AF222" s="171"/>
      <c r="AG222" s="171" t="s">
        <v>148</v>
      </c>
      <c r="AH222" s="171">
        <v>0</v>
      </c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1"/>
      <c r="AX222" s="171"/>
      <c r="AY222" s="171"/>
      <c r="AZ222" s="171"/>
      <c r="BA222" s="171"/>
      <c r="BB222" s="171"/>
      <c r="BC222" s="171"/>
      <c r="BD222" s="171"/>
      <c r="BE222" s="171"/>
      <c r="BF222" s="171"/>
      <c r="BG222" s="171"/>
      <c r="BH222" s="171"/>
    </row>
    <row r="223" spans="1:60" outlineLevel="1" x14ac:dyDescent="0.2">
      <c r="A223" s="162">
        <v>32</v>
      </c>
      <c r="B223" s="163" t="s">
        <v>316</v>
      </c>
      <c r="C223" s="164" t="s">
        <v>317</v>
      </c>
      <c r="D223" s="165" t="s">
        <v>159</v>
      </c>
      <c r="E223" s="166">
        <v>50.482799999999997</v>
      </c>
      <c r="F223" s="140"/>
      <c r="G223" s="167">
        <f>ROUND(E223*F223,2)</f>
        <v>0</v>
      </c>
      <c r="H223" s="168"/>
      <c r="I223" s="169">
        <f>ROUND(E223*H223,2)</f>
        <v>0</v>
      </c>
      <c r="J223" s="168"/>
      <c r="K223" s="169">
        <f>ROUND(E223*J223,2)</f>
        <v>0</v>
      </c>
      <c r="L223" s="169">
        <v>21</v>
      </c>
      <c r="M223" s="169">
        <f>G223*(1+L223/100)</f>
        <v>0</v>
      </c>
      <c r="N223" s="170">
        <v>6.7000000000000002E-4</v>
      </c>
      <c r="O223" s="170">
        <f>ROUND(E223*N223,2)</f>
        <v>0.03</v>
      </c>
      <c r="P223" s="170">
        <v>0.31900000000000001</v>
      </c>
      <c r="Q223" s="170">
        <f>ROUND(E223*P223,2)</f>
        <v>16.100000000000001</v>
      </c>
      <c r="R223" s="169"/>
      <c r="S223" s="169" t="s">
        <v>143</v>
      </c>
      <c r="T223" s="169" t="s">
        <v>143</v>
      </c>
      <c r="U223" s="169">
        <v>0.317</v>
      </c>
      <c r="V223" s="169">
        <f>ROUND(E223*U223,2)</f>
        <v>16</v>
      </c>
      <c r="W223" s="169"/>
      <c r="X223" s="169" t="s">
        <v>144</v>
      </c>
      <c r="Y223" s="169" t="s">
        <v>145</v>
      </c>
      <c r="Z223" s="171"/>
      <c r="AA223" s="171"/>
      <c r="AB223" s="171"/>
      <c r="AC223" s="171"/>
      <c r="AD223" s="171"/>
      <c r="AE223" s="171"/>
      <c r="AF223" s="171"/>
      <c r="AG223" s="171" t="s">
        <v>146</v>
      </c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</row>
    <row r="224" spans="1:60" outlineLevel="2" x14ac:dyDescent="0.2">
      <c r="A224" s="172"/>
      <c r="B224" s="173"/>
      <c r="C224" s="174" t="s">
        <v>318</v>
      </c>
      <c r="D224" s="175"/>
      <c r="E224" s="176"/>
      <c r="F224" s="196"/>
      <c r="G224" s="169"/>
      <c r="H224" s="169"/>
      <c r="I224" s="169"/>
      <c r="J224" s="169"/>
      <c r="K224" s="169"/>
      <c r="L224" s="169"/>
      <c r="M224" s="169"/>
      <c r="N224" s="170"/>
      <c r="O224" s="170"/>
      <c r="P224" s="170"/>
      <c r="Q224" s="170"/>
      <c r="R224" s="169"/>
      <c r="S224" s="169"/>
      <c r="T224" s="169"/>
      <c r="U224" s="169"/>
      <c r="V224" s="169"/>
      <c r="W224" s="169"/>
      <c r="X224" s="169"/>
      <c r="Y224" s="169"/>
      <c r="Z224" s="171"/>
      <c r="AA224" s="171"/>
      <c r="AB224" s="171"/>
      <c r="AC224" s="171"/>
      <c r="AD224" s="171"/>
      <c r="AE224" s="171"/>
      <c r="AF224" s="171"/>
      <c r="AG224" s="171" t="s">
        <v>148</v>
      </c>
      <c r="AH224" s="171">
        <v>0</v>
      </c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</row>
    <row r="225" spans="1:60" outlineLevel="3" x14ac:dyDescent="0.2">
      <c r="A225" s="172"/>
      <c r="B225" s="173"/>
      <c r="C225" s="174" t="s">
        <v>149</v>
      </c>
      <c r="D225" s="175"/>
      <c r="E225" s="176"/>
      <c r="F225" s="196"/>
      <c r="G225" s="169"/>
      <c r="H225" s="169"/>
      <c r="I225" s="169"/>
      <c r="J225" s="169"/>
      <c r="K225" s="169"/>
      <c r="L225" s="169"/>
      <c r="M225" s="169"/>
      <c r="N225" s="170"/>
      <c r="O225" s="170"/>
      <c r="P225" s="170"/>
      <c r="Q225" s="170"/>
      <c r="R225" s="169"/>
      <c r="S225" s="169"/>
      <c r="T225" s="169"/>
      <c r="U225" s="169"/>
      <c r="V225" s="169"/>
      <c r="W225" s="169"/>
      <c r="X225" s="169"/>
      <c r="Y225" s="169"/>
      <c r="Z225" s="171"/>
      <c r="AA225" s="171"/>
      <c r="AB225" s="171"/>
      <c r="AC225" s="171"/>
      <c r="AD225" s="171"/>
      <c r="AE225" s="171"/>
      <c r="AF225" s="171"/>
      <c r="AG225" s="171" t="s">
        <v>148</v>
      </c>
      <c r="AH225" s="171">
        <v>0</v>
      </c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  <c r="BE225" s="171"/>
      <c r="BF225" s="171"/>
      <c r="BG225" s="171"/>
      <c r="BH225" s="171"/>
    </row>
    <row r="226" spans="1:60" outlineLevel="3" x14ac:dyDescent="0.2">
      <c r="A226" s="172"/>
      <c r="B226" s="173"/>
      <c r="C226" s="174" t="s">
        <v>319</v>
      </c>
      <c r="D226" s="175"/>
      <c r="E226" s="176">
        <v>6.5039999999999996</v>
      </c>
      <c r="F226" s="196"/>
      <c r="G226" s="169"/>
      <c r="H226" s="169"/>
      <c r="I226" s="169"/>
      <c r="J226" s="169"/>
      <c r="K226" s="169"/>
      <c r="L226" s="169"/>
      <c r="M226" s="169"/>
      <c r="N226" s="170"/>
      <c r="O226" s="170"/>
      <c r="P226" s="170"/>
      <c r="Q226" s="170"/>
      <c r="R226" s="169"/>
      <c r="S226" s="169"/>
      <c r="T226" s="169"/>
      <c r="U226" s="169"/>
      <c r="V226" s="169"/>
      <c r="W226" s="169"/>
      <c r="X226" s="169"/>
      <c r="Y226" s="169"/>
      <c r="Z226" s="171"/>
      <c r="AA226" s="171"/>
      <c r="AB226" s="171"/>
      <c r="AC226" s="171"/>
      <c r="AD226" s="171"/>
      <c r="AE226" s="171"/>
      <c r="AF226" s="171"/>
      <c r="AG226" s="171" t="s">
        <v>148</v>
      </c>
      <c r="AH226" s="171">
        <v>0</v>
      </c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</row>
    <row r="227" spans="1:60" outlineLevel="3" x14ac:dyDescent="0.2">
      <c r="A227" s="172"/>
      <c r="B227" s="173"/>
      <c r="C227" s="174" t="s">
        <v>320</v>
      </c>
      <c r="D227" s="175"/>
      <c r="E227" s="176">
        <v>4.0650000000000004</v>
      </c>
      <c r="F227" s="196"/>
      <c r="G227" s="169"/>
      <c r="H227" s="169"/>
      <c r="I227" s="169"/>
      <c r="J227" s="169"/>
      <c r="K227" s="169"/>
      <c r="L227" s="169"/>
      <c r="M227" s="169"/>
      <c r="N227" s="170"/>
      <c r="O227" s="170"/>
      <c r="P227" s="170"/>
      <c r="Q227" s="170"/>
      <c r="R227" s="169"/>
      <c r="S227" s="169"/>
      <c r="T227" s="169"/>
      <c r="U227" s="169"/>
      <c r="V227" s="169"/>
      <c r="W227" s="169"/>
      <c r="X227" s="169"/>
      <c r="Y227" s="169"/>
      <c r="Z227" s="171"/>
      <c r="AA227" s="171"/>
      <c r="AB227" s="171"/>
      <c r="AC227" s="171"/>
      <c r="AD227" s="171"/>
      <c r="AE227" s="171"/>
      <c r="AF227" s="171"/>
      <c r="AG227" s="171" t="s">
        <v>148</v>
      </c>
      <c r="AH227" s="171">
        <v>0</v>
      </c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</row>
    <row r="228" spans="1:60" outlineLevel="3" x14ac:dyDescent="0.2">
      <c r="A228" s="172"/>
      <c r="B228" s="173"/>
      <c r="C228" s="174" t="s">
        <v>321</v>
      </c>
      <c r="D228" s="175"/>
      <c r="E228" s="176">
        <v>4.3014000000000001</v>
      </c>
      <c r="F228" s="196"/>
      <c r="G228" s="169"/>
      <c r="H228" s="169"/>
      <c r="I228" s="169"/>
      <c r="J228" s="169"/>
      <c r="K228" s="169"/>
      <c r="L228" s="169"/>
      <c r="M228" s="169"/>
      <c r="N228" s="170"/>
      <c r="O228" s="170"/>
      <c r="P228" s="170"/>
      <c r="Q228" s="170"/>
      <c r="R228" s="169"/>
      <c r="S228" s="169"/>
      <c r="T228" s="169"/>
      <c r="U228" s="169"/>
      <c r="V228" s="169"/>
      <c r="W228" s="169"/>
      <c r="X228" s="169"/>
      <c r="Y228" s="169"/>
      <c r="Z228" s="171"/>
      <c r="AA228" s="171"/>
      <c r="AB228" s="171"/>
      <c r="AC228" s="171"/>
      <c r="AD228" s="171"/>
      <c r="AE228" s="171"/>
      <c r="AF228" s="171"/>
      <c r="AG228" s="171" t="s">
        <v>148</v>
      </c>
      <c r="AH228" s="171">
        <v>0</v>
      </c>
      <c r="AI228" s="171"/>
      <c r="AJ228" s="171"/>
      <c r="AK228" s="171"/>
      <c r="AL228" s="171"/>
      <c r="AM228" s="171"/>
      <c r="AN228" s="171"/>
      <c r="AO228" s="171"/>
      <c r="AP228" s="171"/>
      <c r="AQ228" s="171"/>
      <c r="AR228" s="171"/>
      <c r="AS228" s="171"/>
      <c r="AT228" s="171"/>
      <c r="AU228" s="171"/>
      <c r="AV228" s="171"/>
      <c r="AW228" s="171"/>
      <c r="AX228" s="171"/>
      <c r="AY228" s="171"/>
      <c r="AZ228" s="171"/>
      <c r="BA228" s="171"/>
      <c r="BB228" s="171"/>
      <c r="BC228" s="171"/>
      <c r="BD228" s="171"/>
      <c r="BE228" s="171"/>
      <c r="BF228" s="171"/>
      <c r="BG228" s="171"/>
      <c r="BH228" s="171"/>
    </row>
    <row r="229" spans="1:60" outlineLevel="3" x14ac:dyDescent="0.2">
      <c r="A229" s="172"/>
      <c r="B229" s="173"/>
      <c r="C229" s="174" t="s">
        <v>322</v>
      </c>
      <c r="D229" s="175"/>
      <c r="E229" s="176">
        <v>4.3281999999999998</v>
      </c>
      <c r="F229" s="196"/>
      <c r="G229" s="169"/>
      <c r="H229" s="169"/>
      <c r="I229" s="169"/>
      <c r="J229" s="169"/>
      <c r="K229" s="169"/>
      <c r="L229" s="169"/>
      <c r="M229" s="169"/>
      <c r="N229" s="170"/>
      <c r="O229" s="170"/>
      <c r="P229" s="170"/>
      <c r="Q229" s="170"/>
      <c r="R229" s="169"/>
      <c r="S229" s="169"/>
      <c r="T229" s="169"/>
      <c r="U229" s="169"/>
      <c r="V229" s="169"/>
      <c r="W229" s="169"/>
      <c r="X229" s="169"/>
      <c r="Y229" s="169"/>
      <c r="Z229" s="171"/>
      <c r="AA229" s="171"/>
      <c r="AB229" s="171"/>
      <c r="AC229" s="171"/>
      <c r="AD229" s="171"/>
      <c r="AE229" s="171"/>
      <c r="AF229" s="171"/>
      <c r="AG229" s="171" t="s">
        <v>148</v>
      </c>
      <c r="AH229" s="171">
        <v>0</v>
      </c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</row>
    <row r="230" spans="1:60" outlineLevel="3" x14ac:dyDescent="0.2">
      <c r="A230" s="172"/>
      <c r="B230" s="173"/>
      <c r="C230" s="174" t="s">
        <v>323</v>
      </c>
      <c r="D230" s="175"/>
      <c r="E230" s="176">
        <v>2.1707999999999998</v>
      </c>
      <c r="F230" s="196"/>
      <c r="G230" s="169"/>
      <c r="H230" s="169"/>
      <c r="I230" s="169"/>
      <c r="J230" s="169"/>
      <c r="K230" s="169"/>
      <c r="L230" s="169"/>
      <c r="M230" s="169"/>
      <c r="N230" s="170"/>
      <c r="O230" s="170"/>
      <c r="P230" s="170"/>
      <c r="Q230" s="170"/>
      <c r="R230" s="169"/>
      <c r="S230" s="169"/>
      <c r="T230" s="169"/>
      <c r="U230" s="169"/>
      <c r="V230" s="169"/>
      <c r="W230" s="169"/>
      <c r="X230" s="169"/>
      <c r="Y230" s="169"/>
      <c r="Z230" s="171"/>
      <c r="AA230" s="171"/>
      <c r="AB230" s="171"/>
      <c r="AC230" s="171"/>
      <c r="AD230" s="171"/>
      <c r="AE230" s="171"/>
      <c r="AF230" s="171"/>
      <c r="AG230" s="171" t="s">
        <v>148</v>
      </c>
      <c r="AH230" s="171">
        <v>0</v>
      </c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  <c r="BE230" s="171"/>
      <c r="BF230" s="171"/>
      <c r="BG230" s="171"/>
      <c r="BH230" s="171"/>
    </row>
    <row r="231" spans="1:60" outlineLevel="3" x14ac:dyDescent="0.2">
      <c r="A231" s="172"/>
      <c r="B231" s="173"/>
      <c r="C231" s="174" t="s">
        <v>151</v>
      </c>
      <c r="D231" s="175"/>
      <c r="E231" s="176"/>
      <c r="F231" s="196"/>
      <c r="G231" s="169"/>
      <c r="H231" s="169"/>
      <c r="I231" s="169"/>
      <c r="J231" s="169"/>
      <c r="K231" s="169"/>
      <c r="L231" s="169"/>
      <c r="M231" s="169"/>
      <c r="N231" s="170"/>
      <c r="O231" s="170"/>
      <c r="P231" s="170"/>
      <c r="Q231" s="170"/>
      <c r="R231" s="169"/>
      <c r="S231" s="169"/>
      <c r="T231" s="169"/>
      <c r="U231" s="169"/>
      <c r="V231" s="169"/>
      <c r="W231" s="169"/>
      <c r="X231" s="169"/>
      <c r="Y231" s="169"/>
      <c r="Z231" s="171"/>
      <c r="AA231" s="171"/>
      <c r="AB231" s="171"/>
      <c r="AC231" s="171"/>
      <c r="AD231" s="171"/>
      <c r="AE231" s="171"/>
      <c r="AF231" s="171"/>
      <c r="AG231" s="171" t="s">
        <v>148</v>
      </c>
      <c r="AH231" s="171">
        <v>0</v>
      </c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  <c r="BE231" s="171"/>
      <c r="BF231" s="171"/>
      <c r="BG231" s="171"/>
      <c r="BH231" s="171"/>
    </row>
    <row r="232" spans="1:60" outlineLevel="3" x14ac:dyDescent="0.2">
      <c r="A232" s="172"/>
      <c r="B232" s="173"/>
      <c r="C232" s="174" t="s">
        <v>324</v>
      </c>
      <c r="D232" s="175"/>
      <c r="E232" s="176">
        <v>5.9180000000000001</v>
      </c>
      <c r="F232" s="196"/>
      <c r="G232" s="169"/>
      <c r="H232" s="169"/>
      <c r="I232" s="169"/>
      <c r="J232" s="169"/>
      <c r="K232" s="169"/>
      <c r="L232" s="169"/>
      <c r="M232" s="169"/>
      <c r="N232" s="170"/>
      <c r="O232" s="170"/>
      <c r="P232" s="170"/>
      <c r="Q232" s="170"/>
      <c r="R232" s="169"/>
      <c r="S232" s="169"/>
      <c r="T232" s="169"/>
      <c r="U232" s="169"/>
      <c r="V232" s="169"/>
      <c r="W232" s="169"/>
      <c r="X232" s="169"/>
      <c r="Y232" s="169"/>
      <c r="Z232" s="171"/>
      <c r="AA232" s="171"/>
      <c r="AB232" s="171"/>
      <c r="AC232" s="171"/>
      <c r="AD232" s="171"/>
      <c r="AE232" s="171"/>
      <c r="AF232" s="171"/>
      <c r="AG232" s="171" t="s">
        <v>148</v>
      </c>
      <c r="AH232" s="171">
        <v>0</v>
      </c>
      <c r="AI232" s="171"/>
      <c r="AJ232" s="171"/>
      <c r="AK232" s="171"/>
      <c r="AL232" s="171"/>
      <c r="AM232" s="171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</row>
    <row r="233" spans="1:60" outlineLevel="3" x14ac:dyDescent="0.2">
      <c r="A233" s="172"/>
      <c r="B233" s="173"/>
      <c r="C233" s="174" t="s">
        <v>325</v>
      </c>
      <c r="D233" s="175"/>
      <c r="E233" s="176">
        <v>4.2477999999999998</v>
      </c>
      <c r="F233" s="196"/>
      <c r="G233" s="169"/>
      <c r="H233" s="169"/>
      <c r="I233" s="169"/>
      <c r="J233" s="169"/>
      <c r="K233" s="169"/>
      <c r="L233" s="169"/>
      <c r="M233" s="169"/>
      <c r="N233" s="170"/>
      <c r="O233" s="170"/>
      <c r="P233" s="170"/>
      <c r="Q233" s="170"/>
      <c r="R233" s="169"/>
      <c r="S233" s="169"/>
      <c r="T233" s="169"/>
      <c r="U233" s="169"/>
      <c r="V233" s="169"/>
      <c r="W233" s="169"/>
      <c r="X233" s="169"/>
      <c r="Y233" s="169"/>
      <c r="Z233" s="171"/>
      <c r="AA233" s="171"/>
      <c r="AB233" s="171"/>
      <c r="AC233" s="171"/>
      <c r="AD233" s="171"/>
      <c r="AE233" s="171"/>
      <c r="AF233" s="171"/>
      <c r="AG233" s="171" t="s">
        <v>148</v>
      </c>
      <c r="AH233" s="171">
        <v>0</v>
      </c>
      <c r="AI233" s="171"/>
      <c r="AJ233" s="171"/>
      <c r="AK233" s="171"/>
      <c r="AL233" s="171"/>
      <c r="AM233" s="171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1"/>
      <c r="AY233" s="171"/>
      <c r="AZ233" s="171"/>
      <c r="BA233" s="171"/>
      <c r="BB233" s="171"/>
      <c r="BC233" s="171"/>
      <c r="BD233" s="171"/>
      <c r="BE233" s="171"/>
      <c r="BF233" s="171"/>
      <c r="BG233" s="171"/>
      <c r="BH233" s="171"/>
    </row>
    <row r="234" spans="1:60" outlineLevel="3" x14ac:dyDescent="0.2">
      <c r="A234" s="172"/>
      <c r="B234" s="173"/>
      <c r="C234" s="174" t="s">
        <v>322</v>
      </c>
      <c r="D234" s="175"/>
      <c r="E234" s="176">
        <v>4.3281999999999998</v>
      </c>
      <c r="F234" s="196"/>
      <c r="G234" s="169"/>
      <c r="H234" s="169"/>
      <c r="I234" s="169"/>
      <c r="J234" s="169"/>
      <c r="K234" s="169"/>
      <c r="L234" s="169"/>
      <c r="M234" s="169"/>
      <c r="N234" s="170"/>
      <c r="O234" s="170"/>
      <c r="P234" s="170"/>
      <c r="Q234" s="170"/>
      <c r="R234" s="169"/>
      <c r="S234" s="169"/>
      <c r="T234" s="169"/>
      <c r="U234" s="169"/>
      <c r="V234" s="169"/>
      <c r="W234" s="169"/>
      <c r="X234" s="169"/>
      <c r="Y234" s="169"/>
      <c r="Z234" s="171"/>
      <c r="AA234" s="171"/>
      <c r="AB234" s="171"/>
      <c r="AC234" s="171"/>
      <c r="AD234" s="171"/>
      <c r="AE234" s="171"/>
      <c r="AF234" s="171"/>
      <c r="AG234" s="171" t="s">
        <v>148</v>
      </c>
      <c r="AH234" s="171">
        <v>0</v>
      </c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1"/>
      <c r="AY234" s="171"/>
      <c r="AZ234" s="171"/>
      <c r="BA234" s="171"/>
      <c r="BB234" s="171"/>
      <c r="BC234" s="171"/>
      <c r="BD234" s="171"/>
      <c r="BE234" s="171"/>
      <c r="BF234" s="171"/>
      <c r="BG234" s="171"/>
      <c r="BH234" s="171"/>
    </row>
    <row r="235" spans="1:60" outlineLevel="3" x14ac:dyDescent="0.2">
      <c r="A235" s="172"/>
      <c r="B235" s="173"/>
      <c r="C235" s="174" t="s">
        <v>152</v>
      </c>
      <c r="D235" s="175"/>
      <c r="E235" s="176"/>
      <c r="F235" s="196"/>
      <c r="G235" s="169"/>
      <c r="H235" s="169"/>
      <c r="I235" s="169"/>
      <c r="J235" s="169"/>
      <c r="K235" s="169"/>
      <c r="L235" s="169"/>
      <c r="M235" s="169"/>
      <c r="N235" s="170"/>
      <c r="O235" s="170"/>
      <c r="P235" s="170"/>
      <c r="Q235" s="170"/>
      <c r="R235" s="169"/>
      <c r="S235" s="169"/>
      <c r="T235" s="169"/>
      <c r="U235" s="169"/>
      <c r="V235" s="169"/>
      <c r="W235" s="169"/>
      <c r="X235" s="169"/>
      <c r="Y235" s="169"/>
      <c r="Z235" s="171"/>
      <c r="AA235" s="171"/>
      <c r="AB235" s="171"/>
      <c r="AC235" s="171"/>
      <c r="AD235" s="171"/>
      <c r="AE235" s="171"/>
      <c r="AF235" s="171"/>
      <c r="AG235" s="171" t="s">
        <v>148</v>
      </c>
      <c r="AH235" s="171">
        <v>0</v>
      </c>
      <c r="AI235" s="171"/>
      <c r="AJ235" s="171"/>
      <c r="AK235" s="171"/>
      <c r="AL235" s="171"/>
      <c r="AM235" s="171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1"/>
      <c r="AY235" s="171"/>
      <c r="AZ235" s="171"/>
      <c r="BA235" s="171"/>
      <c r="BB235" s="171"/>
      <c r="BC235" s="171"/>
      <c r="BD235" s="171"/>
      <c r="BE235" s="171"/>
      <c r="BF235" s="171"/>
      <c r="BG235" s="171"/>
      <c r="BH235" s="171"/>
    </row>
    <row r="236" spans="1:60" outlineLevel="3" x14ac:dyDescent="0.2">
      <c r="A236" s="172"/>
      <c r="B236" s="173"/>
      <c r="C236" s="174" t="s">
        <v>326</v>
      </c>
      <c r="D236" s="175"/>
      <c r="E236" s="176">
        <v>5.8959999999999999</v>
      </c>
      <c r="F236" s="196"/>
      <c r="G236" s="169"/>
      <c r="H236" s="169"/>
      <c r="I236" s="169"/>
      <c r="J236" s="169"/>
      <c r="K236" s="169"/>
      <c r="L236" s="169"/>
      <c r="M236" s="169"/>
      <c r="N236" s="170"/>
      <c r="O236" s="170"/>
      <c r="P236" s="170"/>
      <c r="Q236" s="170"/>
      <c r="R236" s="169"/>
      <c r="S236" s="169"/>
      <c r="T236" s="169"/>
      <c r="U236" s="169"/>
      <c r="V236" s="169"/>
      <c r="W236" s="169"/>
      <c r="X236" s="169"/>
      <c r="Y236" s="169"/>
      <c r="Z236" s="171"/>
      <c r="AA236" s="171"/>
      <c r="AB236" s="171"/>
      <c r="AC236" s="171"/>
      <c r="AD236" s="171"/>
      <c r="AE236" s="171"/>
      <c r="AF236" s="171"/>
      <c r="AG236" s="171" t="s">
        <v>148</v>
      </c>
      <c r="AH236" s="171">
        <v>0</v>
      </c>
      <c r="AI236" s="171"/>
      <c r="AJ236" s="171"/>
      <c r="AK236" s="171"/>
      <c r="AL236" s="171"/>
      <c r="AM236" s="171"/>
      <c r="AN236" s="171"/>
      <c r="AO236" s="171"/>
      <c r="AP236" s="171"/>
      <c r="AQ236" s="171"/>
      <c r="AR236" s="171"/>
      <c r="AS236" s="171"/>
      <c r="AT236" s="171"/>
      <c r="AU236" s="171"/>
      <c r="AV236" s="171"/>
      <c r="AW236" s="171"/>
      <c r="AX236" s="171"/>
      <c r="AY236" s="171"/>
      <c r="AZ236" s="171"/>
      <c r="BA236" s="171"/>
      <c r="BB236" s="171"/>
      <c r="BC236" s="171"/>
      <c r="BD236" s="171"/>
      <c r="BE236" s="171"/>
      <c r="BF236" s="171"/>
      <c r="BG236" s="171"/>
      <c r="BH236" s="171"/>
    </row>
    <row r="237" spans="1:60" outlineLevel="3" x14ac:dyDescent="0.2">
      <c r="A237" s="172"/>
      <c r="B237" s="173"/>
      <c r="C237" s="174" t="s">
        <v>327</v>
      </c>
      <c r="D237" s="175"/>
      <c r="E237" s="176">
        <v>4.4622000000000002</v>
      </c>
      <c r="F237" s="196"/>
      <c r="G237" s="169"/>
      <c r="H237" s="169"/>
      <c r="I237" s="169"/>
      <c r="J237" s="169"/>
      <c r="K237" s="169"/>
      <c r="L237" s="169"/>
      <c r="M237" s="169"/>
      <c r="N237" s="170"/>
      <c r="O237" s="170"/>
      <c r="P237" s="170"/>
      <c r="Q237" s="170"/>
      <c r="R237" s="169"/>
      <c r="S237" s="169"/>
      <c r="T237" s="169"/>
      <c r="U237" s="169"/>
      <c r="V237" s="169"/>
      <c r="W237" s="169"/>
      <c r="X237" s="169"/>
      <c r="Y237" s="169"/>
      <c r="Z237" s="171"/>
      <c r="AA237" s="171"/>
      <c r="AB237" s="171"/>
      <c r="AC237" s="171"/>
      <c r="AD237" s="171"/>
      <c r="AE237" s="171"/>
      <c r="AF237" s="171"/>
      <c r="AG237" s="171" t="s">
        <v>148</v>
      </c>
      <c r="AH237" s="171">
        <v>0</v>
      </c>
      <c r="AI237" s="171"/>
      <c r="AJ237" s="171"/>
      <c r="AK237" s="171"/>
      <c r="AL237" s="171"/>
      <c r="AM237" s="171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1"/>
      <c r="AY237" s="171"/>
      <c r="AZ237" s="171"/>
      <c r="BA237" s="171"/>
      <c r="BB237" s="171"/>
      <c r="BC237" s="171"/>
      <c r="BD237" s="171"/>
      <c r="BE237" s="171"/>
      <c r="BF237" s="171"/>
      <c r="BG237" s="171"/>
      <c r="BH237" s="171"/>
    </row>
    <row r="238" spans="1:60" outlineLevel="3" x14ac:dyDescent="0.2">
      <c r="A238" s="172"/>
      <c r="B238" s="173"/>
      <c r="C238" s="174" t="s">
        <v>328</v>
      </c>
      <c r="D238" s="175"/>
      <c r="E238" s="176">
        <v>4.2611999999999997</v>
      </c>
      <c r="F238" s="196"/>
      <c r="G238" s="169"/>
      <c r="H238" s="169"/>
      <c r="I238" s="169"/>
      <c r="J238" s="169"/>
      <c r="K238" s="169"/>
      <c r="L238" s="169"/>
      <c r="M238" s="169"/>
      <c r="N238" s="170"/>
      <c r="O238" s="170"/>
      <c r="P238" s="170"/>
      <c r="Q238" s="170"/>
      <c r="R238" s="169"/>
      <c r="S238" s="169"/>
      <c r="T238" s="169"/>
      <c r="U238" s="169"/>
      <c r="V238" s="169"/>
      <c r="W238" s="169"/>
      <c r="X238" s="169"/>
      <c r="Y238" s="169"/>
      <c r="Z238" s="171"/>
      <c r="AA238" s="171"/>
      <c r="AB238" s="171"/>
      <c r="AC238" s="171"/>
      <c r="AD238" s="171"/>
      <c r="AE238" s="171"/>
      <c r="AF238" s="171"/>
      <c r="AG238" s="171" t="s">
        <v>148</v>
      </c>
      <c r="AH238" s="171">
        <v>0</v>
      </c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  <c r="BE238" s="171"/>
      <c r="BF238" s="171"/>
      <c r="BG238" s="171"/>
      <c r="BH238" s="171"/>
    </row>
    <row r="239" spans="1:60" ht="22.5" outlineLevel="1" x14ac:dyDescent="0.2">
      <c r="A239" s="162">
        <v>33</v>
      </c>
      <c r="B239" s="163" t="s">
        <v>329</v>
      </c>
      <c r="C239" s="164" t="s">
        <v>330</v>
      </c>
      <c r="D239" s="165" t="s">
        <v>159</v>
      </c>
      <c r="E239" s="166">
        <v>8.125</v>
      </c>
      <c r="F239" s="140"/>
      <c r="G239" s="167">
        <f>ROUND(E239*F239,2)</f>
        <v>0</v>
      </c>
      <c r="H239" s="168"/>
      <c r="I239" s="169">
        <f>ROUND(E239*H239,2)</f>
        <v>0</v>
      </c>
      <c r="J239" s="168"/>
      <c r="K239" s="169">
        <f>ROUND(E239*J239,2)</f>
        <v>0</v>
      </c>
      <c r="L239" s="169">
        <v>21</v>
      </c>
      <c r="M239" s="169">
        <f>G239*(1+L239/100)</f>
        <v>0</v>
      </c>
      <c r="N239" s="170">
        <v>3.3E-4</v>
      </c>
      <c r="O239" s="170">
        <f>ROUND(E239*N239,2)</f>
        <v>0</v>
      </c>
      <c r="P239" s="170">
        <v>1.223E-2</v>
      </c>
      <c r="Q239" s="170">
        <f>ROUND(E239*P239,2)</f>
        <v>0.1</v>
      </c>
      <c r="R239" s="169"/>
      <c r="S239" s="169" t="s">
        <v>143</v>
      </c>
      <c r="T239" s="169" t="s">
        <v>143</v>
      </c>
      <c r="U239" s="169">
        <v>0.26800000000000002</v>
      </c>
      <c r="V239" s="169">
        <f>ROUND(E239*U239,2)</f>
        <v>2.1800000000000002</v>
      </c>
      <c r="W239" s="169"/>
      <c r="X239" s="169" t="s">
        <v>144</v>
      </c>
      <c r="Y239" s="169" t="s">
        <v>145</v>
      </c>
      <c r="Z239" s="171"/>
      <c r="AA239" s="171"/>
      <c r="AB239" s="171"/>
      <c r="AC239" s="171"/>
      <c r="AD239" s="171"/>
      <c r="AE239" s="171"/>
      <c r="AF239" s="171"/>
      <c r="AG239" s="171" t="s">
        <v>146</v>
      </c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  <c r="BE239" s="171"/>
      <c r="BF239" s="171"/>
      <c r="BG239" s="171"/>
      <c r="BH239" s="171"/>
    </row>
    <row r="240" spans="1:60" outlineLevel="2" x14ac:dyDescent="0.2">
      <c r="A240" s="172"/>
      <c r="B240" s="173"/>
      <c r="C240" s="174" t="s">
        <v>331</v>
      </c>
      <c r="D240" s="175"/>
      <c r="E240" s="176"/>
      <c r="F240" s="196"/>
      <c r="G240" s="169"/>
      <c r="H240" s="169"/>
      <c r="I240" s="169"/>
      <c r="J240" s="169"/>
      <c r="K240" s="169"/>
      <c r="L240" s="169"/>
      <c r="M240" s="169"/>
      <c r="N240" s="170"/>
      <c r="O240" s="170"/>
      <c r="P240" s="170"/>
      <c r="Q240" s="170"/>
      <c r="R240" s="169"/>
      <c r="S240" s="169"/>
      <c r="T240" s="169"/>
      <c r="U240" s="169"/>
      <c r="V240" s="169"/>
      <c r="W240" s="169"/>
      <c r="X240" s="169"/>
      <c r="Y240" s="169"/>
      <c r="Z240" s="171"/>
      <c r="AA240" s="171"/>
      <c r="AB240" s="171"/>
      <c r="AC240" s="171"/>
      <c r="AD240" s="171"/>
      <c r="AE240" s="171"/>
      <c r="AF240" s="171"/>
      <c r="AG240" s="171" t="s">
        <v>148</v>
      </c>
      <c r="AH240" s="171">
        <v>0</v>
      </c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  <c r="AY240" s="171"/>
      <c r="AZ240" s="171"/>
      <c r="BA240" s="171"/>
      <c r="BB240" s="171"/>
      <c r="BC240" s="171"/>
      <c r="BD240" s="171"/>
      <c r="BE240" s="171"/>
      <c r="BF240" s="171"/>
      <c r="BG240" s="171"/>
      <c r="BH240" s="171"/>
    </row>
    <row r="241" spans="1:60" outlineLevel="3" x14ac:dyDescent="0.2">
      <c r="A241" s="172"/>
      <c r="B241" s="173"/>
      <c r="C241" s="174" t="s">
        <v>149</v>
      </c>
      <c r="D241" s="175"/>
      <c r="E241" s="176"/>
      <c r="F241" s="196"/>
      <c r="G241" s="169"/>
      <c r="H241" s="169"/>
      <c r="I241" s="169"/>
      <c r="J241" s="169"/>
      <c r="K241" s="169"/>
      <c r="L241" s="169"/>
      <c r="M241" s="169"/>
      <c r="N241" s="170"/>
      <c r="O241" s="170"/>
      <c r="P241" s="170"/>
      <c r="Q241" s="170"/>
      <c r="R241" s="169"/>
      <c r="S241" s="169"/>
      <c r="T241" s="169"/>
      <c r="U241" s="169"/>
      <c r="V241" s="169"/>
      <c r="W241" s="169"/>
      <c r="X241" s="169"/>
      <c r="Y241" s="169"/>
      <c r="Z241" s="171"/>
      <c r="AA241" s="171"/>
      <c r="AB241" s="171"/>
      <c r="AC241" s="171"/>
      <c r="AD241" s="171"/>
      <c r="AE241" s="171"/>
      <c r="AF241" s="171"/>
      <c r="AG241" s="171" t="s">
        <v>148</v>
      </c>
      <c r="AH241" s="171">
        <v>0</v>
      </c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  <c r="BE241" s="171"/>
      <c r="BF241" s="171"/>
      <c r="BG241" s="171"/>
      <c r="BH241" s="171"/>
    </row>
    <row r="242" spans="1:60" outlineLevel="3" x14ac:dyDescent="0.2">
      <c r="A242" s="172"/>
      <c r="B242" s="173"/>
      <c r="C242" s="174" t="s">
        <v>332</v>
      </c>
      <c r="D242" s="175"/>
      <c r="E242" s="176">
        <v>1.9824999999999999</v>
      </c>
      <c r="F242" s="196"/>
      <c r="G242" s="169"/>
      <c r="H242" s="169"/>
      <c r="I242" s="169"/>
      <c r="J242" s="169"/>
      <c r="K242" s="169"/>
      <c r="L242" s="169"/>
      <c r="M242" s="169"/>
      <c r="N242" s="170"/>
      <c r="O242" s="170"/>
      <c r="P242" s="170"/>
      <c r="Q242" s="170"/>
      <c r="R242" s="169"/>
      <c r="S242" s="169"/>
      <c r="T242" s="169"/>
      <c r="U242" s="169"/>
      <c r="V242" s="169"/>
      <c r="W242" s="169"/>
      <c r="X242" s="169"/>
      <c r="Y242" s="169"/>
      <c r="Z242" s="171"/>
      <c r="AA242" s="171"/>
      <c r="AB242" s="171"/>
      <c r="AC242" s="171"/>
      <c r="AD242" s="171"/>
      <c r="AE242" s="171"/>
      <c r="AF242" s="171"/>
      <c r="AG242" s="171" t="s">
        <v>148</v>
      </c>
      <c r="AH242" s="171">
        <v>0</v>
      </c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71"/>
      <c r="BB242" s="171"/>
      <c r="BC242" s="171"/>
      <c r="BD242" s="171"/>
      <c r="BE242" s="171"/>
      <c r="BF242" s="171"/>
      <c r="BG242" s="171"/>
      <c r="BH242" s="171"/>
    </row>
    <row r="243" spans="1:60" outlineLevel="3" x14ac:dyDescent="0.2">
      <c r="A243" s="172"/>
      <c r="B243" s="173"/>
      <c r="C243" s="174" t="s">
        <v>151</v>
      </c>
      <c r="D243" s="175"/>
      <c r="E243" s="176"/>
      <c r="F243" s="196"/>
      <c r="G243" s="169"/>
      <c r="H243" s="169"/>
      <c r="I243" s="169"/>
      <c r="J243" s="169"/>
      <c r="K243" s="169"/>
      <c r="L243" s="169"/>
      <c r="M243" s="169"/>
      <c r="N243" s="170"/>
      <c r="O243" s="170"/>
      <c r="P243" s="170"/>
      <c r="Q243" s="170"/>
      <c r="R243" s="169"/>
      <c r="S243" s="169"/>
      <c r="T243" s="169"/>
      <c r="U243" s="169"/>
      <c r="V243" s="169"/>
      <c r="W243" s="169"/>
      <c r="X243" s="169"/>
      <c r="Y243" s="169"/>
      <c r="Z243" s="171"/>
      <c r="AA243" s="171"/>
      <c r="AB243" s="171"/>
      <c r="AC243" s="171"/>
      <c r="AD243" s="171"/>
      <c r="AE243" s="171"/>
      <c r="AF243" s="171"/>
      <c r="AG243" s="171" t="s">
        <v>148</v>
      </c>
      <c r="AH243" s="171">
        <v>0</v>
      </c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</row>
    <row r="244" spans="1:60" outlineLevel="3" x14ac:dyDescent="0.2">
      <c r="A244" s="172"/>
      <c r="B244" s="173"/>
      <c r="C244" s="174" t="s">
        <v>333</v>
      </c>
      <c r="D244" s="175"/>
      <c r="E244" s="176">
        <v>1.3</v>
      </c>
      <c r="F244" s="196"/>
      <c r="G244" s="169"/>
      <c r="H244" s="169"/>
      <c r="I244" s="169"/>
      <c r="J244" s="169"/>
      <c r="K244" s="169"/>
      <c r="L244" s="169"/>
      <c r="M244" s="169"/>
      <c r="N244" s="170"/>
      <c r="O244" s="170"/>
      <c r="P244" s="170"/>
      <c r="Q244" s="170"/>
      <c r="R244" s="169"/>
      <c r="S244" s="169"/>
      <c r="T244" s="169"/>
      <c r="U244" s="169"/>
      <c r="V244" s="169"/>
      <c r="W244" s="169"/>
      <c r="X244" s="169"/>
      <c r="Y244" s="169"/>
      <c r="Z244" s="171"/>
      <c r="AA244" s="171"/>
      <c r="AB244" s="171"/>
      <c r="AC244" s="171"/>
      <c r="AD244" s="171"/>
      <c r="AE244" s="171"/>
      <c r="AF244" s="171"/>
      <c r="AG244" s="171" t="s">
        <v>148</v>
      </c>
      <c r="AH244" s="171">
        <v>0</v>
      </c>
      <c r="AI244" s="171"/>
      <c r="AJ244" s="171"/>
      <c r="AK244" s="171"/>
      <c r="AL244" s="171"/>
      <c r="AM244" s="171"/>
      <c r="AN244" s="171"/>
      <c r="AO244" s="171"/>
      <c r="AP244" s="171"/>
      <c r="AQ244" s="171"/>
      <c r="AR244" s="171"/>
      <c r="AS244" s="171"/>
      <c r="AT244" s="171"/>
      <c r="AU244" s="171"/>
      <c r="AV244" s="171"/>
      <c r="AW244" s="171"/>
      <c r="AX244" s="171"/>
      <c r="AY244" s="171"/>
      <c r="AZ244" s="171"/>
      <c r="BA244" s="171"/>
      <c r="BB244" s="171"/>
      <c r="BC244" s="171"/>
      <c r="BD244" s="171"/>
      <c r="BE244" s="171"/>
      <c r="BF244" s="171"/>
      <c r="BG244" s="171"/>
      <c r="BH244" s="171"/>
    </row>
    <row r="245" spans="1:60" outlineLevel="3" x14ac:dyDescent="0.2">
      <c r="A245" s="172"/>
      <c r="B245" s="173"/>
      <c r="C245" s="174" t="s">
        <v>199</v>
      </c>
      <c r="D245" s="175"/>
      <c r="E245" s="176">
        <v>1.625</v>
      </c>
      <c r="F245" s="196"/>
      <c r="G245" s="169"/>
      <c r="H245" s="169"/>
      <c r="I245" s="169"/>
      <c r="J245" s="169"/>
      <c r="K245" s="169"/>
      <c r="L245" s="169"/>
      <c r="M245" s="169"/>
      <c r="N245" s="170"/>
      <c r="O245" s="170"/>
      <c r="P245" s="170"/>
      <c r="Q245" s="170"/>
      <c r="R245" s="169"/>
      <c r="S245" s="169"/>
      <c r="T245" s="169"/>
      <c r="U245" s="169"/>
      <c r="V245" s="169"/>
      <c r="W245" s="169"/>
      <c r="X245" s="169"/>
      <c r="Y245" s="169"/>
      <c r="Z245" s="171"/>
      <c r="AA245" s="171"/>
      <c r="AB245" s="171"/>
      <c r="AC245" s="171"/>
      <c r="AD245" s="171"/>
      <c r="AE245" s="171"/>
      <c r="AF245" s="171"/>
      <c r="AG245" s="171" t="s">
        <v>148</v>
      </c>
      <c r="AH245" s="171">
        <v>0</v>
      </c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  <c r="AY245" s="171"/>
      <c r="AZ245" s="171"/>
      <c r="BA245" s="171"/>
      <c r="BB245" s="171"/>
      <c r="BC245" s="171"/>
      <c r="BD245" s="171"/>
      <c r="BE245" s="171"/>
      <c r="BF245" s="171"/>
      <c r="BG245" s="171"/>
      <c r="BH245" s="171"/>
    </row>
    <row r="246" spans="1:60" outlineLevel="3" x14ac:dyDescent="0.2">
      <c r="A246" s="172"/>
      <c r="B246" s="173"/>
      <c r="C246" s="174" t="s">
        <v>152</v>
      </c>
      <c r="D246" s="175"/>
      <c r="E246" s="176"/>
      <c r="F246" s="196"/>
      <c r="G246" s="169"/>
      <c r="H246" s="169"/>
      <c r="I246" s="169"/>
      <c r="J246" s="169"/>
      <c r="K246" s="169"/>
      <c r="L246" s="169"/>
      <c r="M246" s="169"/>
      <c r="N246" s="170"/>
      <c r="O246" s="170"/>
      <c r="P246" s="170"/>
      <c r="Q246" s="170"/>
      <c r="R246" s="169"/>
      <c r="S246" s="169"/>
      <c r="T246" s="169"/>
      <c r="U246" s="169"/>
      <c r="V246" s="169"/>
      <c r="W246" s="169"/>
      <c r="X246" s="169"/>
      <c r="Y246" s="169"/>
      <c r="Z246" s="171"/>
      <c r="AA246" s="171"/>
      <c r="AB246" s="171"/>
      <c r="AC246" s="171"/>
      <c r="AD246" s="171"/>
      <c r="AE246" s="171"/>
      <c r="AF246" s="171"/>
      <c r="AG246" s="171" t="s">
        <v>148</v>
      </c>
      <c r="AH246" s="171">
        <v>0</v>
      </c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  <c r="BE246" s="171"/>
      <c r="BF246" s="171"/>
      <c r="BG246" s="171"/>
      <c r="BH246" s="171"/>
    </row>
    <row r="247" spans="1:60" outlineLevel="3" x14ac:dyDescent="0.2">
      <c r="A247" s="172"/>
      <c r="B247" s="173"/>
      <c r="C247" s="174" t="s">
        <v>334</v>
      </c>
      <c r="D247" s="175"/>
      <c r="E247" s="176">
        <v>1.2024999999999999</v>
      </c>
      <c r="F247" s="196"/>
      <c r="G247" s="169"/>
      <c r="H247" s="169"/>
      <c r="I247" s="169"/>
      <c r="J247" s="169"/>
      <c r="K247" s="169"/>
      <c r="L247" s="169"/>
      <c r="M247" s="169"/>
      <c r="N247" s="170"/>
      <c r="O247" s="170"/>
      <c r="P247" s="170"/>
      <c r="Q247" s="170"/>
      <c r="R247" s="169"/>
      <c r="S247" s="169"/>
      <c r="T247" s="169"/>
      <c r="U247" s="169"/>
      <c r="V247" s="169"/>
      <c r="W247" s="169"/>
      <c r="X247" s="169"/>
      <c r="Y247" s="169"/>
      <c r="Z247" s="171"/>
      <c r="AA247" s="171"/>
      <c r="AB247" s="171"/>
      <c r="AC247" s="171"/>
      <c r="AD247" s="171"/>
      <c r="AE247" s="171"/>
      <c r="AF247" s="171"/>
      <c r="AG247" s="171" t="s">
        <v>148</v>
      </c>
      <c r="AH247" s="171">
        <v>0</v>
      </c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</row>
    <row r="248" spans="1:60" outlineLevel="3" x14ac:dyDescent="0.2">
      <c r="A248" s="172"/>
      <c r="B248" s="173"/>
      <c r="C248" s="174" t="s">
        <v>335</v>
      </c>
      <c r="D248" s="175"/>
      <c r="E248" s="176">
        <v>2.0150000000000001</v>
      </c>
      <c r="F248" s="196"/>
      <c r="G248" s="169"/>
      <c r="H248" s="169"/>
      <c r="I248" s="169"/>
      <c r="J248" s="169"/>
      <c r="K248" s="169"/>
      <c r="L248" s="169"/>
      <c r="M248" s="169"/>
      <c r="N248" s="170"/>
      <c r="O248" s="170"/>
      <c r="P248" s="170"/>
      <c r="Q248" s="170"/>
      <c r="R248" s="169"/>
      <c r="S248" s="169"/>
      <c r="T248" s="169"/>
      <c r="U248" s="169"/>
      <c r="V248" s="169"/>
      <c r="W248" s="169"/>
      <c r="X248" s="169"/>
      <c r="Y248" s="169"/>
      <c r="Z248" s="171"/>
      <c r="AA248" s="171"/>
      <c r="AB248" s="171"/>
      <c r="AC248" s="171"/>
      <c r="AD248" s="171"/>
      <c r="AE248" s="171"/>
      <c r="AF248" s="171"/>
      <c r="AG248" s="171" t="s">
        <v>148</v>
      </c>
      <c r="AH248" s="171">
        <v>0</v>
      </c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  <c r="BE248" s="171"/>
      <c r="BF248" s="171"/>
      <c r="BG248" s="171"/>
      <c r="BH248" s="171"/>
    </row>
    <row r="249" spans="1:60" outlineLevel="1" x14ac:dyDescent="0.2">
      <c r="A249" s="162">
        <v>34</v>
      </c>
      <c r="B249" s="163" t="s">
        <v>336</v>
      </c>
      <c r="C249" s="164" t="s">
        <v>337</v>
      </c>
      <c r="D249" s="165" t="s">
        <v>142</v>
      </c>
      <c r="E249" s="166">
        <v>0.13800000000000001</v>
      </c>
      <c r="F249" s="140"/>
      <c r="G249" s="167">
        <f>ROUND(E249*F249,2)</f>
        <v>0</v>
      </c>
      <c r="H249" s="168"/>
      <c r="I249" s="169">
        <f>ROUND(E249*H249,2)</f>
        <v>0</v>
      </c>
      <c r="J249" s="168"/>
      <c r="K249" s="169">
        <f>ROUND(E249*J249,2)</f>
        <v>0</v>
      </c>
      <c r="L249" s="169">
        <v>21</v>
      </c>
      <c r="M249" s="169">
        <f>G249*(1+L249/100)</f>
        <v>0</v>
      </c>
      <c r="N249" s="170">
        <v>7.4099999999999999E-3</v>
      </c>
      <c r="O249" s="170">
        <f>ROUND(E249*N249,2)</f>
        <v>0</v>
      </c>
      <c r="P249" s="170">
        <v>2.1</v>
      </c>
      <c r="Q249" s="170">
        <f>ROUND(E249*P249,2)</f>
        <v>0.28999999999999998</v>
      </c>
      <c r="R249" s="169"/>
      <c r="S249" s="169" t="s">
        <v>143</v>
      </c>
      <c r="T249" s="169" t="s">
        <v>143</v>
      </c>
      <c r="U249" s="169">
        <v>7.476</v>
      </c>
      <c r="V249" s="169">
        <f>ROUND(E249*U249,2)</f>
        <v>1.03</v>
      </c>
      <c r="W249" s="169"/>
      <c r="X249" s="169" t="s">
        <v>144</v>
      </c>
      <c r="Y249" s="169" t="s">
        <v>145</v>
      </c>
      <c r="Z249" s="171"/>
      <c r="AA249" s="171"/>
      <c r="AB249" s="171"/>
      <c r="AC249" s="171"/>
      <c r="AD249" s="171"/>
      <c r="AE249" s="171"/>
      <c r="AF249" s="171"/>
      <c r="AG249" s="171" t="s">
        <v>146</v>
      </c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  <c r="BE249" s="171"/>
      <c r="BF249" s="171"/>
      <c r="BG249" s="171"/>
      <c r="BH249" s="171"/>
    </row>
    <row r="250" spans="1:60" outlineLevel="2" x14ac:dyDescent="0.2">
      <c r="A250" s="172"/>
      <c r="B250" s="173"/>
      <c r="C250" s="174" t="s">
        <v>338</v>
      </c>
      <c r="D250" s="175"/>
      <c r="E250" s="176"/>
      <c r="F250" s="196"/>
      <c r="G250" s="169"/>
      <c r="H250" s="169"/>
      <c r="I250" s="169"/>
      <c r="J250" s="169"/>
      <c r="K250" s="169"/>
      <c r="L250" s="169"/>
      <c r="M250" s="169"/>
      <c r="N250" s="170"/>
      <c r="O250" s="170"/>
      <c r="P250" s="170"/>
      <c r="Q250" s="170"/>
      <c r="R250" s="169"/>
      <c r="S250" s="169"/>
      <c r="T250" s="169"/>
      <c r="U250" s="169"/>
      <c r="V250" s="169"/>
      <c r="W250" s="169"/>
      <c r="X250" s="169"/>
      <c r="Y250" s="169"/>
      <c r="Z250" s="171"/>
      <c r="AA250" s="171"/>
      <c r="AB250" s="171"/>
      <c r="AC250" s="171"/>
      <c r="AD250" s="171"/>
      <c r="AE250" s="171"/>
      <c r="AF250" s="171"/>
      <c r="AG250" s="171" t="s">
        <v>148</v>
      </c>
      <c r="AH250" s="171">
        <v>0</v>
      </c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  <c r="AY250" s="171"/>
      <c r="AZ250" s="171"/>
      <c r="BA250" s="171"/>
      <c r="BB250" s="171"/>
      <c r="BC250" s="171"/>
      <c r="BD250" s="171"/>
      <c r="BE250" s="171"/>
      <c r="BF250" s="171"/>
      <c r="BG250" s="171"/>
      <c r="BH250" s="171"/>
    </row>
    <row r="251" spans="1:60" outlineLevel="3" x14ac:dyDescent="0.2">
      <c r="A251" s="172"/>
      <c r="B251" s="173"/>
      <c r="C251" s="174" t="s">
        <v>339</v>
      </c>
      <c r="D251" s="175"/>
      <c r="E251" s="176">
        <v>0.108</v>
      </c>
      <c r="F251" s="196"/>
      <c r="G251" s="169"/>
      <c r="H251" s="169"/>
      <c r="I251" s="169"/>
      <c r="J251" s="169"/>
      <c r="K251" s="169"/>
      <c r="L251" s="169"/>
      <c r="M251" s="169"/>
      <c r="N251" s="170"/>
      <c r="O251" s="170"/>
      <c r="P251" s="170"/>
      <c r="Q251" s="170"/>
      <c r="R251" s="169"/>
      <c r="S251" s="169"/>
      <c r="T251" s="169"/>
      <c r="U251" s="169"/>
      <c r="V251" s="169"/>
      <c r="W251" s="169"/>
      <c r="X251" s="169"/>
      <c r="Y251" s="169"/>
      <c r="Z251" s="171"/>
      <c r="AA251" s="171"/>
      <c r="AB251" s="171"/>
      <c r="AC251" s="171"/>
      <c r="AD251" s="171"/>
      <c r="AE251" s="171"/>
      <c r="AF251" s="171"/>
      <c r="AG251" s="171" t="s">
        <v>148</v>
      </c>
      <c r="AH251" s="171">
        <v>0</v>
      </c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  <c r="AY251" s="171"/>
      <c r="AZ251" s="171"/>
      <c r="BA251" s="171"/>
      <c r="BB251" s="171"/>
      <c r="BC251" s="171"/>
      <c r="BD251" s="171"/>
      <c r="BE251" s="171"/>
      <c r="BF251" s="171"/>
      <c r="BG251" s="171"/>
      <c r="BH251" s="171"/>
    </row>
    <row r="252" spans="1:60" outlineLevel="3" x14ac:dyDescent="0.2">
      <c r="A252" s="172"/>
      <c r="B252" s="173"/>
      <c r="C252" s="174" t="s">
        <v>340</v>
      </c>
      <c r="D252" s="175"/>
      <c r="E252" s="176">
        <v>0.03</v>
      </c>
      <c r="F252" s="196"/>
      <c r="G252" s="169"/>
      <c r="H252" s="169"/>
      <c r="I252" s="169"/>
      <c r="J252" s="169"/>
      <c r="K252" s="169"/>
      <c r="L252" s="169"/>
      <c r="M252" s="169"/>
      <c r="N252" s="170"/>
      <c r="O252" s="170"/>
      <c r="P252" s="170"/>
      <c r="Q252" s="170"/>
      <c r="R252" s="169"/>
      <c r="S252" s="169"/>
      <c r="T252" s="169"/>
      <c r="U252" s="169"/>
      <c r="V252" s="169"/>
      <c r="W252" s="169"/>
      <c r="X252" s="169"/>
      <c r="Y252" s="169"/>
      <c r="Z252" s="171"/>
      <c r="AA252" s="171"/>
      <c r="AB252" s="171"/>
      <c r="AC252" s="171"/>
      <c r="AD252" s="171"/>
      <c r="AE252" s="171"/>
      <c r="AF252" s="171"/>
      <c r="AG252" s="171" t="s">
        <v>148</v>
      </c>
      <c r="AH252" s="171">
        <v>0</v>
      </c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  <c r="AY252" s="171"/>
      <c r="AZ252" s="171"/>
      <c r="BA252" s="171"/>
      <c r="BB252" s="171"/>
      <c r="BC252" s="171"/>
      <c r="BD252" s="171"/>
      <c r="BE252" s="171"/>
      <c r="BF252" s="171"/>
      <c r="BG252" s="171"/>
      <c r="BH252" s="171"/>
    </row>
    <row r="253" spans="1:60" outlineLevel="1" x14ac:dyDescent="0.2">
      <c r="A253" s="162">
        <v>35</v>
      </c>
      <c r="B253" s="163" t="s">
        <v>341</v>
      </c>
      <c r="C253" s="164" t="s">
        <v>342</v>
      </c>
      <c r="D253" s="165" t="s">
        <v>142</v>
      </c>
      <c r="E253" s="166">
        <v>6.9000000000000006E-2</v>
      </c>
      <c r="F253" s="140"/>
      <c r="G253" s="167">
        <f>ROUND(E253*F253,2)</f>
        <v>0</v>
      </c>
      <c r="H253" s="168"/>
      <c r="I253" s="169">
        <f>ROUND(E253*H253,2)</f>
        <v>0</v>
      </c>
      <c r="J253" s="168"/>
      <c r="K253" s="169">
        <f>ROUND(E253*J253,2)</f>
        <v>0</v>
      </c>
      <c r="L253" s="169">
        <v>21</v>
      </c>
      <c r="M253" s="169">
        <f>G253*(1+L253/100)</f>
        <v>0</v>
      </c>
      <c r="N253" s="170">
        <v>0</v>
      </c>
      <c r="O253" s="170">
        <f>ROUND(E253*N253,2)</f>
        <v>0</v>
      </c>
      <c r="P253" s="170">
        <v>2.2000000000000002</v>
      </c>
      <c r="Q253" s="170">
        <f>ROUND(E253*P253,2)</f>
        <v>0.15</v>
      </c>
      <c r="R253" s="169"/>
      <c r="S253" s="169" t="s">
        <v>143</v>
      </c>
      <c r="T253" s="169" t="s">
        <v>143</v>
      </c>
      <c r="U253" s="169">
        <v>12.56</v>
      </c>
      <c r="V253" s="169">
        <f>ROUND(E253*U253,2)</f>
        <v>0.87</v>
      </c>
      <c r="W253" s="169"/>
      <c r="X253" s="169" t="s">
        <v>144</v>
      </c>
      <c r="Y253" s="169" t="s">
        <v>145</v>
      </c>
      <c r="Z253" s="171"/>
      <c r="AA253" s="171"/>
      <c r="AB253" s="171"/>
      <c r="AC253" s="171"/>
      <c r="AD253" s="171"/>
      <c r="AE253" s="171"/>
      <c r="AF253" s="171"/>
      <c r="AG253" s="171" t="s">
        <v>146</v>
      </c>
      <c r="AH253" s="171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  <c r="AY253" s="171"/>
      <c r="AZ253" s="171"/>
      <c r="BA253" s="171"/>
      <c r="BB253" s="171"/>
      <c r="BC253" s="171"/>
      <c r="BD253" s="171"/>
      <c r="BE253" s="171"/>
      <c r="BF253" s="171"/>
      <c r="BG253" s="171"/>
      <c r="BH253" s="171"/>
    </row>
    <row r="254" spans="1:60" outlineLevel="2" x14ac:dyDescent="0.2">
      <c r="A254" s="172"/>
      <c r="B254" s="173"/>
      <c r="C254" s="174" t="s">
        <v>149</v>
      </c>
      <c r="D254" s="175"/>
      <c r="E254" s="176"/>
      <c r="F254" s="196"/>
      <c r="G254" s="169"/>
      <c r="H254" s="169"/>
      <c r="I254" s="169"/>
      <c r="J254" s="169"/>
      <c r="K254" s="169"/>
      <c r="L254" s="169"/>
      <c r="M254" s="169"/>
      <c r="N254" s="170"/>
      <c r="O254" s="170"/>
      <c r="P254" s="170"/>
      <c r="Q254" s="170"/>
      <c r="R254" s="169"/>
      <c r="S254" s="169"/>
      <c r="T254" s="169"/>
      <c r="U254" s="169"/>
      <c r="V254" s="169"/>
      <c r="W254" s="169"/>
      <c r="X254" s="169"/>
      <c r="Y254" s="169"/>
      <c r="Z254" s="171"/>
      <c r="AA254" s="171"/>
      <c r="AB254" s="171"/>
      <c r="AC254" s="171"/>
      <c r="AD254" s="171"/>
      <c r="AE254" s="171"/>
      <c r="AF254" s="171"/>
      <c r="AG254" s="171" t="s">
        <v>148</v>
      </c>
      <c r="AH254" s="171">
        <v>0</v>
      </c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  <c r="AY254" s="171"/>
      <c r="AZ254" s="171"/>
      <c r="BA254" s="171"/>
      <c r="BB254" s="171"/>
      <c r="BC254" s="171"/>
      <c r="BD254" s="171"/>
      <c r="BE254" s="171"/>
      <c r="BF254" s="171"/>
      <c r="BG254" s="171"/>
      <c r="BH254" s="171"/>
    </row>
    <row r="255" spans="1:60" outlineLevel="3" x14ac:dyDescent="0.2">
      <c r="A255" s="172"/>
      <c r="B255" s="173"/>
      <c r="C255" s="174" t="s">
        <v>273</v>
      </c>
      <c r="D255" s="175"/>
      <c r="E255" s="176">
        <v>6.9000000000000006E-2</v>
      </c>
      <c r="F255" s="196"/>
      <c r="G255" s="169"/>
      <c r="H255" s="169"/>
      <c r="I255" s="169"/>
      <c r="J255" s="169"/>
      <c r="K255" s="169"/>
      <c r="L255" s="169"/>
      <c r="M255" s="169"/>
      <c r="N255" s="170"/>
      <c r="O255" s="170"/>
      <c r="P255" s="170"/>
      <c r="Q255" s="170"/>
      <c r="R255" s="169"/>
      <c r="S255" s="169"/>
      <c r="T255" s="169"/>
      <c r="U255" s="169"/>
      <c r="V255" s="169"/>
      <c r="W255" s="169"/>
      <c r="X255" s="169"/>
      <c r="Y255" s="169"/>
      <c r="Z255" s="171"/>
      <c r="AA255" s="171"/>
      <c r="AB255" s="171"/>
      <c r="AC255" s="171"/>
      <c r="AD255" s="171"/>
      <c r="AE255" s="171"/>
      <c r="AF255" s="171"/>
      <c r="AG255" s="171" t="s">
        <v>148</v>
      </c>
      <c r="AH255" s="171">
        <v>0</v>
      </c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  <c r="AY255" s="171"/>
      <c r="AZ255" s="171"/>
      <c r="BA255" s="171"/>
      <c r="BB255" s="171"/>
      <c r="BC255" s="171"/>
      <c r="BD255" s="171"/>
      <c r="BE255" s="171"/>
      <c r="BF255" s="171"/>
      <c r="BG255" s="171"/>
      <c r="BH255" s="171"/>
    </row>
    <row r="256" spans="1:60" outlineLevel="1" x14ac:dyDescent="0.2">
      <c r="A256" s="177">
        <v>36</v>
      </c>
      <c r="B256" s="178" t="s">
        <v>343</v>
      </c>
      <c r="C256" s="179" t="s">
        <v>344</v>
      </c>
      <c r="D256" s="180" t="s">
        <v>159</v>
      </c>
      <c r="E256" s="181">
        <v>123.38339999999999</v>
      </c>
      <c r="F256" s="141"/>
      <c r="G256" s="182">
        <f>ROUND(E256*F256,2)</f>
        <v>0</v>
      </c>
      <c r="H256" s="168"/>
      <c r="I256" s="169">
        <f>ROUND(E256*H256,2)</f>
        <v>0</v>
      </c>
      <c r="J256" s="168"/>
      <c r="K256" s="169">
        <f>ROUND(E256*J256,2)</f>
        <v>0</v>
      </c>
      <c r="L256" s="169">
        <v>21</v>
      </c>
      <c r="M256" s="169">
        <f>G256*(1+L256/100)</f>
        <v>0</v>
      </c>
      <c r="N256" s="170">
        <v>0</v>
      </c>
      <c r="O256" s="170">
        <f>ROUND(E256*N256,2)</f>
        <v>0</v>
      </c>
      <c r="P256" s="170">
        <v>1.75E-3</v>
      </c>
      <c r="Q256" s="170">
        <f>ROUND(E256*P256,2)</f>
        <v>0.22</v>
      </c>
      <c r="R256" s="169"/>
      <c r="S256" s="169" t="s">
        <v>143</v>
      </c>
      <c r="T256" s="169" t="s">
        <v>143</v>
      </c>
      <c r="U256" s="169">
        <v>0.16500000000000001</v>
      </c>
      <c r="V256" s="169">
        <f>ROUND(E256*U256,2)</f>
        <v>20.36</v>
      </c>
      <c r="W256" s="169"/>
      <c r="X256" s="169" t="s">
        <v>144</v>
      </c>
      <c r="Y256" s="169" t="s">
        <v>145</v>
      </c>
      <c r="Z256" s="171"/>
      <c r="AA256" s="171"/>
      <c r="AB256" s="171"/>
      <c r="AC256" s="171"/>
      <c r="AD256" s="171"/>
      <c r="AE256" s="171"/>
      <c r="AF256" s="171"/>
      <c r="AG256" s="171" t="s">
        <v>146</v>
      </c>
      <c r="AH256" s="171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  <c r="AY256" s="171"/>
      <c r="AZ256" s="171"/>
      <c r="BA256" s="171"/>
      <c r="BB256" s="171"/>
      <c r="BC256" s="171"/>
      <c r="BD256" s="171"/>
      <c r="BE256" s="171"/>
      <c r="BF256" s="171"/>
      <c r="BG256" s="171"/>
      <c r="BH256" s="171"/>
    </row>
    <row r="257" spans="1:60" outlineLevel="1" x14ac:dyDescent="0.2">
      <c r="A257" s="162">
        <v>37</v>
      </c>
      <c r="B257" s="163" t="s">
        <v>345</v>
      </c>
      <c r="C257" s="164" t="s">
        <v>346</v>
      </c>
      <c r="D257" s="165" t="s">
        <v>159</v>
      </c>
      <c r="E257" s="166">
        <v>123.38339999999999</v>
      </c>
      <c r="F257" s="140"/>
      <c r="G257" s="167">
        <f>ROUND(E257*F257,2)</f>
        <v>0</v>
      </c>
      <c r="H257" s="168"/>
      <c r="I257" s="169">
        <f>ROUND(E257*H257,2)</f>
        <v>0</v>
      </c>
      <c r="J257" s="168"/>
      <c r="K257" s="169">
        <f>ROUND(E257*J257,2)</f>
        <v>0</v>
      </c>
      <c r="L257" s="169">
        <v>21</v>
      </c>
      <c r="M257" s="169">
        <f>G257*(1+L257/100)</f>
        <v>0</v>
      </c>
      <c r="N257" s="170">
        <v>0</v>
      </c>
      <c r="O257" s="170">
        <f>ROUND(E257*N257,2)</f>
        <v>0</v>
      </c>
      <c r="P257" s="170">
        <v>0.02</v>
      </c>
      <c r="Q257" s="170">
        <f>ROUND(E257*P257,2)</f>
        <v>2.4700000000000002</v>
      </c>
      <c r="R257" s="169"/>
      <c r="S257" s="169" t="s">
        <v>143</v>
      </c>
      <c r="T257" s="169" t="s">
        <v>143</v>
      </c>
      <c r="U257" s="169">
        <v>0.14699999999999999</v>
      </c>
      <c r="V257" s="169">
        <f>ROUND(E257*U257,2)</f>
        <v>18.14</v>
      </c>
      <c r="W257" s="169"/>
      <c r="X257" s="169" t="s">
        <v>144</v>
      </c>
      <c r="Y257" s="169" t="s">
        <v>145</v>
      </c>
      <c r="Z257" s="171"/>
      <c r="AA257" s="171"/>
      <c r="AB257" s="171"/>
      <c r="AC257" s="171"/>
      <c r="AD257" s="171"/>
      <c r="AE257" s="171"/>
      <c r="AF257" s="171"/>
      <c r="AG257" s="171" t="s">
        <v>146</v>
      </c>
      <c r="AH257" s="171"/>
      <c r="AI257" s="171"/>
      <c r="AJ257" s="171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</row>
    <row r="258" spans="1:60" outlineLevel="2" x14ac:dyDescent="0.2">
      <c r="A258" s="172"/>
      <c r="B258" s="173"/>
      <c r="C258" s="174" t="s">
        <v>347</v>
      </c>
      <c r="D258" s="175"/>
      <c r="E258" s="176"/>
      <c r="F258" s="196"/>
      <c r="G258" s="169"/>
      <c r="H258" s="169"/>
      <c r="I258" s="169"/>
      <c r="J258" s="169"/>
      <c r="K258" s="169"/>
      <c r="L258" s="169"/>
      <c r="M258" s="169"/>
      <c r="N258" s="170"/>
      <c r="O258" s="170"/>
      <c r="P258" s="170"/>
      <c r="Q258" s="170"/>
      <c r="R258" s="169"/>
      <c r="S258" s="169"/>
      <c r="T258" s="169"/>
      <c r="U258" s="169"/>
      <c r="V258" s="169"/>
      <c r="W258" s="169"/>
      <c r="X258" s="169"/>
      <c r="Y258" s="169"/>
      <c r="Z258" s="171"/>
      <c r="AA258" s="171"/>
      <c r="AB258" s="171"/>
      <c r="AC258" s="171"/>
      <c r="AD258" s="171"/>
      <c r="AE258" s="171"/>
      <c r="AF258" s="171"/>
      <c r="AG258" s="171" t="s">
        <v>148</v>
      </c>
      <c r="AH258" s="171">
        <v>0</v>
      </c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171"/>
      <c r="AZ258" s="171"/>
      <c r="BA258" s="171"/>
      <c r="BB258" s="171"/>
      <c r="BC258" s="171"/>
      <c r="BD258" s="171"/>
      <c r="BE258" s="171"/>
      <c r="BF258" s="171"/>
      <c r="BG258" s="171"/>
      <c r="BH258" s="171"/>
    </row>
    <row r="259" spans="1:60" outlineLevel="3" x14ac:dyDescent="0.2">
      <c r="A259" s="172"/>
      <c r="B259" s="173"/>
      <c r="C259" s="174" t="s">
        <v>149</v>
      </c>
      <c r="D259" s="175"/>
      <c r="E259" s="176"/>
      <c r="F259" s="196"/>
      <c r="G259" s="169"/>
      <c r="H259" s="169"/>
      <c r="I259" s="169"/>
      <c r="J259" s="169"/>
      <c r="K259" s="169"/>
      <c r="L259" s="169"/>
      <c r="M259" s="169"/>
      <c r="N259" s="170"/>
      <c r="O259" s="170"/>
      <c r="P259" s="170"/>
      <c r="Q259" s="170"/>
      <c r="R259" s="169"/>
      <c r="S259" s="169"/>
      <c r="T259" s="169"/>
      <c r="U259" s="169"/>
      <c r="V259" s="169"/>
      <c r="W259" s="169"/>
      <c r="X259" s="169"/>
      <c r="Y259" s="169"/>
      <c r="Z259" s="171"/>
      <c r="AA259" s="171"/>
      <c r="AB259" s="171"/>
      <c r="AC259" s="171"/>
      <c r="AD259" s="171"/>
      <c r="AE259" s="171"/>
      <c r="AF259" s="171"/>
      <c r="AG259" s="171" t="s">
        <v>148</v>
      </c>
      <c r="AH259" s="171">
        <v>0</v>
      </c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  <c r="BE259" s="171"/>
      <c r="BF259" s="171"/>
      <c r="BG259" s="171"/>
      <c r="BH259" s="171"/>
    </row>
    <row r="260" spans="1:60" outlineLevel="3" x14ac:dyDescent="0.2">
      <c r="A260" s="172"/>
      <c r="B260" s="173"/>
      <c r="C260" s="174" t="s">
        <v>348</v>
      </c>
      <c r="D260" s="175"/>
      <c r="E260" s="176">
        <v>40.967199999999998</v>
      </c>
      <c r="F260" s="196"/>
      <c r="G260" s="169"/>
      <c r="H260" s="169"/>
      <c r="I260" s="169"/>
      <c r="J260" s="169"/>
      <c r="K260" s="169"/>
      <c r="L260" s="169"/>
      <c r="M260" s="169"/>
      <c r="N260" s="170"/>
      <c r="O260" s="170"/>
      <c r="P260" s="170"/>
      <c r="Q260" s="170"/>
      <c r="R260" s="169"/>
      <c r="S260" s="169"/>
      <c r="T260" s="169"/>
      <c r="U260" s="169"/>
      <c r="V260" s="169"/>
      <c r="W260" s="169"/>
      <c r="X260" s="169"/>
      <c r="Y260" s="169"/>
      <c r="Z260" s="171"/>
      <c r="AA260" s="171"/>
      <c r="AB260" s="171"/>
      <c r="AC260" s="171"/>
      <c r="AD260" s="171"/>
      <c r="AE260" s="171"/>
      <c r="AF260" s="171"/>
      <c r="AG260" s="171" t="s">
        <v>148</v>
      </c>
      <c r="AH260" s="171">
        <v>0</v>
      </c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1"/>
      <c r="AT260" s="171"/>
      <c r="AU260" s="171"/>
      <c r="AV260" s="171"/>
      <c r="AW260" s="171"/>
      <c r="AX260" s="171"/>
      <c r="AY260" s="171"/>
      <c r="AZ260" s="171"/>
      <c r="BA260" s="171"/>
      <c r="BB260" s="171"/>
      <c r="BC260" s="171"/>
      <c r="BD260" s="171"/>
      <c r="BE260" s="171"/>
      <c r="BF260" s="171"/>
      <c r="BG260" s="171"/>
      <c r="BH260" s="171"/>
    </row>
    <row r="261" spans="1:60" outlineLevel="3" x14ac:dyDescent="0.2">
      <c r="A261" s="172"/>
      <c r="B261" s="173"/>
      <c r="C261" s="174" t="s">
        <v>151</v>
      </c>
      <c r="D261" s="175"/>
      <c r="E261" s="176"/>
      <c r="F261" s="196"/>
      <c r="G261" s="169"/>
      <c r="H261" s="169"/>
      <c r="I261" s="169"/>
      <c r="J261" s="169"/>
      <c r="K261" s="169"/>
      <c r="L261" s="169"/>
      <c r="M261" s="169"/>
      <c r="N261" s="170"/>
      <c r="O261" s="170"/>
      <c r="P261" s="170"/>
      <c r="Q261" s="170"/>
      <c r="R261" s="169"/>
      <c r="S261" s="169"/>
      <c r="T261" s="169"/>
      <c r="U261" s="169"/>
      <c r="V261" s="169"/>
      <c r="W261" s="169"/>
      <c r="X261" s="169"/>
      <c r="Y261" s="169"/>
      <c r="Z261" s="171"/>
      <c r="AA261" s="171"/>
      <c r="AB261" s="171"/>
      <c r="AC261" s="171"/>
      <c r="AD261" s="171"/>
      <c r="AE261" s="171"/>
      <c r="AF261" s="171"/>
      <c r="AG261" s="171" t="s">
        <v>148</v>
      </c>
      <c r="AH261" s="171">
        <v>0</v>
      </c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  <c r="BE261" s="171"/>
      <c r="BF261" s="171"/>
      <c r="BG261" s="171"/>
      <c r="BH261" s="171"/>
    </row>
    <row r="262" spans="1:60" outlineLevel="3" x14ac:dyDescent="0.2">
      <c r="A262" s="172"/>
      <c r="B262" s="173"/>
      <c r="C262" s="174" t="s">
        <v>349</v>
      </c>
      <c r="D262" s="175"/>
      <c r="E262" s="176">
        <v>41.238199999999999</v>
      </c>
      <c r="F262" s="196"/>
      <c r="G262" s="169"/>
      <c r="H262" s="169"/>
      <c r="I262" s="169"/>
      <c r="J262" s="169"/>
      <c r="K262" s="169"/>
      <c r="L262" s="169"/>
      <c r="M262" s="169"/>
      <c r="N262" s="170"/>
      <c r="O262" s="170"/>
      <c r="P262" s="170"/>
      <c r="Q262" s="170"/>
      <c r="R262" s="169"/>
      <c r="S262" s="169"/>
      <c r="T262" s="169"/>
      <c r="U262" s="169"/>
      <c r="V262" s="169"/>
      <c r="W262" s="169"/>
      <c r="X262" s="169"/>
      <c r="Y262" s="169"/>
      <c r="Z262" s="171"/>
      <c r="AA262" s="171"/>
      <c r="AB262" s="171"/>
      <c r="AC262" s="171"/>
      <c r="AD262" s="171"/>
      <c r="AE262" s="171"/>
      <c r="AF262" s="171"/>
      <c r="AG262" s="171" t="s">
        <v>148</v>
      </c>
      <c r="AH262" s="171">
        <v>0</v>
      </c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1"/>
      <c r="AT262" s="171"/>
      <c r="AU262" s="171"/>
      <c r="AV262" s="171"/>
      <c r="AW262" s="171"/>
      <c r="AX262" s="171"/>
      <c r="AY262" s="171"/>
      <c r="AZ262" s="171"/>
      <c r="BA262" s="171"/>
      <c r="BB262" s="171"/>
      <c r="BC262" s="171"/>
      <c r="BD262" s="171"/>
      <c r="BE262" s="171"/>
      <c r="BF262" s="171"/>
      <c r="BG262" s="171"/>
      <c r="BH262" s="171"/>
    </row>
    <row r="263" spans="1:60" outlineLevel="3" x14ac:dyDescent="0.2">
      <c r="A263" s="172"/>
      <c r="B263" s="173"/>
      <c r="C263" s="174" t="s">
        <v>152</v>
      </c>
      <c r="D263" s="175"/>
      <c r="E263" s="176"/>
      <c r="F263" s="196"/>
      <c r="G263" s="169"/>
      <c r="H263" s="169"/>
      <c r="I263" s="169"/>
      <c r="J263" s="169"/>
      <c r="K263" s="169"/>
      <c r="L263" s="169"/>
      <c r="M263" s="169"/>
      <c r="N263" s="170"/>
      <c r="O263" s="170"/>
      <c r="P263" s="170"/>
      <c r="Q263" s="170"/>
      <c r="R263" s="169"/>
      <c r="S263" s="169"/>
      <c r="T263" s="169"/>
      <c r="U263" s="169"/>
      <c r="V263" s="169"/>
      <c r="W263" s="169"/>
      <c r="X263" s="169"/>
      <c r="Y263" s="169"/>
      <c r="Z263" s="171"/>
      <c r="AA263" s="171"/>
      <c r="AB263" s="171"/>
      <c r="AC263" s="171"/>
      <c r="AD263" s="171"/>
      <c r="AE263" s="171"/>
      <c r="AF263" s="171"/>
      <c r="AG263" s="171" t="s">
        <v>148</v>
      </c>
      <c r="AH263" s="171">
        <v>0</v>
      </c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</row>
    <row r="264" spans="1:60" outlineLevel="3" x14ac:dyDescent="0.2">
      <c r="A264" s="172"/>
      <c r="B264" s="173"/>
      <c r="C264" s="174" t="s">
        <v>350</v>
      </c>
      <c r="D264" s="175"/>
      <c r="E264" s="176">
        <v>41.177999999999997</v>
      </c>
      <c r="F264" s="196"/>
      <c r="G264" s="169"/>
      <c r="H264" s="169"/>
      <c r="I264" s="169"/>
      <c r="J264" s="169"/>
      <c r="K264" s="169"/>
      <c r="L264" s="169"/>
      <c r="M264" s="169"/>
      <c r="N264" s="170"/>
      <c r="O264" s="170"/>
      <c r="P264" s="170"/>
      <c r="Q264" s="170"/>
      <c r="R264" s="169"/>
      <c r="S264" s="169"/>
      <c r="T264" s="169"/>
      <c r="U264" s="169"/>
      <c r="V264" s="169"/>
      <c r="W264" s="169"/>
      <c r="X264" s="169"/>
      <c r="Y264" s="169"/>
      <c r="Z264" s="171"/>
      <c r="AA264" s="171"/>
      <c r="AB264" s="171"/>
      <c r="AC264" s="171"/>
      <c r="AD264" s="171"/>
      <c r="AE264" s="171"/>
      <c r="AF264" s="171"/>
      <c r="AG264" s="171" t="s">
        <v>148</v>
      </c>
      <c r="AH264" s="171">
        <v>0</v>
      </c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1"/>
      <c r="AX264" s="171"/>
      <c r="AY264" s="171"/>
      <c r="AZ264" s="171"/>
      <c r="BA264" s="171"/>
      <c r="BB264" s="171"/>
      <c r="BC264" s="171"/>
      <c r="BD264" s="171"/>
      <c r="BE264" s="171"/>
      <c r="BF264" s="171"/>
      <c r="BG264" s="171"/>
      <c r="BH264" s="171"/>
    </row>
    <row r="265" spans="1:60" outlineLevel="1" x14ac:dyDescent="0.2">
      <c r="A265" s="162">
        <v>38</v>
      </c>
      <c r="B265" s="163" t="s">
        <v>351</v>
      </c>
      <c r="C265" s="164" t="s">
        <v>352</v>
      </c>
      <c r="D265" s="165" t="s">
        <v>230</v>
      </c>
      <c r="E265" s="166">
        <v>3</v>
      </c>
      <c r="F265" s="140"/>
      <c r="G265" s="167">
        <f>ROUND(E265*F265,2)</f>
        <v>0</v>
      </c>
      <c r="H265" s="168"/>
      <c r="I265" s="169">
        <f>ROUND(E265*H265,2)</f>
        <v>0</v>
      </c>
      <c r="J265" s="168"/>
      <c r="K265" s="169">
        <f>ROUND(E265*J265,2)</f>
        <v>0</v>
      </c>
      <c r="L265" s="169">
        <v>21</v>
      </c>
      <c r="M265" s="169">
        <f>G265*(1+L265/100)</f>
        <v>0</v>
      </c>
      <c r="N265" s="170">
        <v>0</v>
      </c>
      <c r="O265" s="170">
        <f>ROUND(E265*N265,2)</f>
        <v>0</v>
      </c>
      <c r="P265" s="170">
        <v>0.08</v>
      </c>
      <c r="Q265" s="170">
        <f>ROUND(E265*P265,2)</f>
        <v>0.24</v>
      </c>
      <c r="R265" s="169"/>
      <c r="S265" s="169" t="s">
        <v>143</v>
      </c>
      <c r="T265" s="169" t="s">
        <v>143</v>
      </c>
      <c r="U265" s="169">
        <v>0.222</v>
      </c>
      <c r="V265" s="169">
        <f>ROUND(E265*U265,2)</f>
        <v>0.67</v>
      </c>
      <c r="W265" s="169"/>
      <c r="X265" s="169" t="s">
        <v>144</v>
      </c>
      <c r="Y265" s="169" t="s">
        <v>145</v>
      </c>
      <c r="Z265" s="171"/>
      <c r="AA265" s="171"/>
      <c r="AB265" s="171"/>
      <c r="AC265" s="171"/>
      <c r="AD265" s="171"/>
      <c r="AE265" s="171"/>
      <c r="AF265" s="171"/>
      <c r="AG265" s="171" t="s">
        <v>146</v>
      </c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  <c r="BE265" s="171"/>
      <c r="BF265" s="171"/>
      <c r="BG265" s="171"/>
      <c r="BH265" s="171"/>
    </row>
    <row r="266" spans="1:60" outlineLevel="2" x14ac:dyDescent="0.2">
      <c r="A266" s="172"/>
      <c r="B266" s="173"/>
      <c r="C266" s="174" t="s">
        <v>353</v>
      </c>
      <c r="D266" s="175"/>
      <c r="E266" s="176"/>
      <c r="F266" s="196"/>
      <c r="G266" s="169"/>
      <c r="H266" s="169"/>
      <c r="I266" s="169"/>
      <c r="J266" s="169"/>
      <c r="K266" s="169"/>
      <c r="L266" s="169"/>
      <c r="M266" s="169"/>
      <c r="N266" s="170"/>
      <c r="O266" s="170"/>
      <c r="P266" s="170"/>
      <c r="Q266" s="170"/>
      <c r="R266" s="169"/>
      <c r="S266" s="169"/>
      <c r="T266" s="169"/>
      <c r="U266" s="169"/>
      <c r="V266" s="169"/>
      <c r="W266" s="169"/>
      <c r="X266" s="169"/>
      <c r="Y266" s="169"/>
      <c r="Z266" s="171"/>
      <c r="AA266" s="171"/>
      <c r="AB266" s="171"/>
      <c r="AC266" s="171"/>
      <c r="AD266" s="171"/>
      <c r="AE266" s="171"/>
      <c r="AF266" s="171"/>
      <c r="AG266" s="171" t="s">
        <v>148</v>
      </c>
      <c r="AH266" s="171">
        <v>0</v>
      </c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1"/>
      <c r="AY266" s="171"/>
      <c r="AZ266" s="171"/>
      <c r="BA266" s="171"/>
      <c r="BB266" s="171"/>
      <c r="BC266" s="171"/>
      <c r="BD266" s="171"/>
      <c r="BE266" s="171"/>
      <c r="BF266" s="171"/>
      <c r="BG266" s="171"/>
      <c r="BH266" s="171"/>
    </row>
    <row r="267" spans="1:60" outlineLevel="3" x14ac:dyDescent="0.2">
      <c r="A267" s="172"/>
      <c r="B267" s="173"/>
      <c r="C267" s="174" t="s">
        <v>149</v>
      </c>
      <c r="D267" s="175"/>
      <c r="E267" s="176"/>
      <c r="F267" s="196"/>
      <c r="G267" s="169"/>
      <c r="H267" s="169"/>
      <c r="I267" s="169"/>
      <c r="J267" s="169"/>
      <c r="K267" s="169"/>
      <c r="L267" s="169"/>
      <c r="M267" s="169"/>
      <c r="N267" s="170"/>
      <c r="O267" s="170"/>
      <c r="P267" s="170"/>
      <c r="Q267" s="170"/>
      <c r="R267" s="169"/>
      <c r="S267" s="169"/>
      <c r="T267" s="169"/>
      <c r="U267" s="169"/>
      <c r="V267" s="169"/>
      <c r="W267" s="169"/>
      <c r="X267" s="169"/>
      <c r="Y267" s="169"/>
      <c r="Z267" s="171"/>
      <c r="AA267" s="171"/>
      <c r="AB267" s="171"/>
      <c r="AC267" s="171"/>
      <c r="AD267" s="171"/>
      <c r="AE267" s="171"/>
      <c r="AF267" s="171"/>
      <c r="AG267" s="171" t="s">
        <v>148</v>
      </c>
      <c r="AH267" s="171">
        <v>0</v>
      </c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171"/>
      <c r="AZ267" s="171"/>
      <c r="BA267" s="171"/>
      <c r="BB267" s="171"/>
      <c r="BC267" s="171"/>
      <c r="BD267" s="171"/>
      <c r="BE267" s="171"/>
      <c r="BF267" s="171"/>
      <c r="BG267" s="171"/>
      <c r="BH267" s="171"/>
    </row>
    <row r="268" spans="1:60" outlineLevel="3" x14ac:dyDescent="0.2">
      <c r="A268" s="172"/>
      <c r="B268" s="173"/>
      <c r="C268" s="174" t="s">
        <v>354</v>
      </c>
      <c r="D268" s="175"/>
      <c r="E268" s="176">
        <v>1</v>
      </c>
      <c r="F268" s="196"/>
      <c r="G268" s="169"/>
      <c r="H268" s="169"/>
      <c r="I268" s="169"/>
      <c r="J268" s="169"/>
      <c r="K268" s="169"/>
      <c r="L268" s="169"/>
      <c r="M268" s="169"/>
      <c r="N268" s="170"/>
      <c r="O268" s="170"/>
      <c r="P268" s="170"/>
      <c r="Q268" s="170"/>
      <c r="R268" s="169"/>
      <c r="S268" s="169"/>
      <c r="T268" s="169"/>
      <c r="U268" s="169"/>
      <c r="V268" s="169"/>
      <c r="W268" s="169"/>
      <c r="X268" s="169"/>
      <c r="Y268" s="169"/>
      <c r="Z268" s="171"/>
      <c r="AA268" s="171"/>
      <c r="AB268" s="171"/>
      <c r="AC268" s="171"/>
      <c r="AD268" s="171"/>
      <c r="AE268" s="171"/>
      <c r="AF268" s="171"/>
      <c r="AG268" s="171" t="s">
        <v>148</v>
      </c>
      <c r="AH268" s="171">
        <v>0</v>
      </c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  <c r="AY268" s="171"/>
      <c r="AZ268" s="171"/>
      <c r="BA268" s="171"/>
      <c r="BB268" s="171"/>
      <c r="BC268" s="171"/>
      <c r="BD268" s="171"/>
      <c r="BE268" s="171"/>
      <c r="BF268" s="171"/>
      <c r="BG268" s="171"/>
      <c r="BH268" s="171"/>
    </row>
    <row r="269" spans="1:60" outlineLevel="3" x14ac:dyDescent="0.2">
      <c r="A269" s="172"/>
      <c r="B269" s="173"/>
      <c r="C269" s="174" t="s">
        <v>151</v>
      </c>
      <c r="D269" s="175"/>
      <c r="E269" s="176"/>
      <c r="F269" s="196"/>
      <c r="G269" s="169"/>
      <c r="H269" s="169"/>
      <c r="I269" s="169"/>
      <c r="J269" s="169"/>
      <c r="K269" s="169"/>
      <c r="L269" s="169"/>
      <c r="M269" s="169"/>
      <c r="N269" s="170"/>
      <c r="O269" s="170"/>
      <c r="P269" s="170"/>
      <c r="Q269" s="170"/>
      <c r="R269" s="169"/>
      <c r="S269" s="169"/>
      <c r="T269" s="169"/>
      <c r="U269" s="169"/>
      <c r="V269" s="169"/>
      <c r="W269" s="169"/>
      <c r="X269" s="169"/>
      <c r="Y269" s="169"/>
      <c r="Z269" s="171"/>
      <c r="AA269" s="171"/>
      <c r="AB269" s="171"/>
      <c r="AC269" s="171"/>
      <c r="AD269" s="171"/>
      <c r="AE269" s="171"/>
      <c r="AF269" s="171"/>
      <c r="AG269" s="171" t="s">
        <v>148</v>
      </c>
      <c r="AH269" s="171">
        <v>0</v>
      </c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  <c r="AZ269" s="171"/>
      <c r="BA269" s="171"/>
      <c r="BB269" s="171"/>
      <c r="BC269" s="171"/>
      <c r="BD269" s="171"/>
      <c r="BE269" s="171"/>
      <c r="BF269" s="171"/>
      <c r="BG269" s="171"/>
      <c r="BH269" s="171"/>
    </row>
    <row r="270" spans="1:60" outlineLevel="3" x14ac:dyDescent="0.2">
      <c r="A270" s="172"/>
      <c r="B270" s="173"/>
      <c r="C270" s="174" t="s">
        <v>354</v>
      </c>
      <c r="D270" s="175"/>
      <c r="E270" s="176">
        <v>1</v>
      </c>
      <c r="F270" s="196"/>
      <c r="G270" s="169"/>
      <c r="H270" s="169"/>
      <c r="I270" s="169"/>
      <c r="J270" s="169"/>
      <c r="K270" s="169"/>
      <c r="L270" s="169"/>
      <c r="M270" s="169"/>
      <c r="N270" s="170"/>
      <c r="O270" s="170"/>
      <c r="P270" s="170"/>
      <c r="Q270" s="170"/>
      <c r="R270" s="169"/>
      <c r="S270" s="169"/>
      <c r="T270" s="169"/>
      <c r="U270" s="169"/>
      <c r="V270" s="169"/>
      <c r="W270" s="169"/>
      <c r="X270" s="169"/>
      <c r="Y270" s="169"/>
      <c r="Z270" s="171"/>
      <c r="AA270" s="171"/>
      <c r="AB270" s="171"/>
      <c r="AC270" s="171"/>
      <c r="AD270" s="171"/>
      <c r="AE270" s="171"/>
      <c r="AF270" s="171"/>
      <c r="AG270" s="171" t="s">
        <v>148</v>
      </c>
      <c r="AH270" s="171">
        <v>0</v>
      </c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  <c r="AY270" s="171"/>
      <c r="AZ270" s="171"/>
      <c r="BA270" s="171"/>
      <c r="BB270" s="171"/>
      <c r="BC270" s="171"/>
      <c r="BD270" s="171"/>
      <c r="BE270" s="171"/>
      <c r="BF270" s="171"/>
      <c r="BG270" s="171"/>
      <c r="BH270" s="171"/>
    </row>
    <row r="271" spans="1:60" outlineLevel="3" x14ac:dyDescent="0.2">
      <c r="A271" s="172"/>
      <c r="B271" s="173"/>
      <c r="C271" s="174" t="s">
        <v>152</v>
      </c>
      <c r="D271" s="175"/>
      <c r="E271" s="176"/>
      <c r="F271" s="196"/>
      <c r="G271" s="169"/>
      <c r="H271" s="169"/>
      <c r="I271" s="169"/>
      <c r="J271" s="169"/>
      <c r="K271" s="169"/>
      <c r="L271" s="169"/>
      <c r="M271" s="169"/>
      <c r="N271" s="170"/>
      <c r="O271" s="170"/>
      <c r="P271" s="170"/>
      <c r="Q271" s="170"/>
      <c r="R271" s="169"/>
      <c r="S271" s="169"/>
      <c r="T271" s="169"/>
      <c r="U271" s="169"/>
      <c r="V271" s="169"/>
      <c r="W271" s="169"/>
      <c r="X271" s="169"/>
      <c r="Y271" s="169"/>
      <c r="Z271" s="171"/>
      <c r="AA271" s="171"/>
      <c r="AB271" s="171"/>
      <c r="AC271" s="171"/>
      <c r="AD271" s="171"/>
      <c r="AE271" s="171"/>
      <c r="AF271" s="171"/>
      <c r="AG271" s="171" t="s">
        <v>148</v>
      </c>
      <c r="AH271" s="171">
        <v>0</v>
      </c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  <c r="BE271" s="171"/>
      <c r="BF271" s="171"/>
      <c r="BG271" s="171"/>
      <c r="BH271" s="171"/>
    </row>
    <row r="272" spans="1:60" outlineLevel="3" x14ac:dyDescent="0.2">
      <c r="A272" s="172"/>
      <c r="B272" s="173"/>
      <c r="C272" s="174" t="s">
        <v>354</v>
      </c>
      <c r="D272" s="175"/>
      <c r="E272" s="176">
        <v>1</v>
      </c>
      <c r="F272" s="196"/>
      <c r="G272" s="169"/>
      <c r="H272" s="169"/>
      <c r="I272" s="169"/>
      <c r="J272" s="169"/>
      <c r="K272" s="169"/>
      <c r="L272" s="169"/>
      <c r="M272" s="169"/>
      <c r="N272" s="170"/>
      <c r="O272" s="170"/>
      <c r="P272" s="170"/>
      <c r="Q272" s="170"/>
      <c r="R272" s="169"/>
      <c r="S272" s="169"/>
      <c r="T272" s="169"/>
      <c r="U272" s="169"/>
      <c r="V272" s="169"/>
      <c r="W272" s="169"/>
      <c r="X272" s="169"/>
      <c r="Y272" s="169"/>
      <c r="Z272" s="171"/>
      <c r="AA272" s="171"/>
      <c r="AB272" s="171"/>
      <c r="AC272" s="171"/>
      <c r="AD272" s="171"/>
      <c r="AE272" s="171"/>
      <c r="AF272" s="171"/>
      <c r="AG272" s="171" t="s">
        <v>148</v>
      </c>
      <c r="AH272" s="171">
        <v>0</v>
      </c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71"/>
      <c r="BB272" s="171"/>
      <c r="BC272" s="171"/>
      <c r="BD272" s="171"/>
      <c r="BE272" s="171"/>
      <c r="BF272" s="171"/>
      <c r="BG272" s="171"/>
      <c r="BH272" s="171"/>
    </row>
    <row r="273" spans="1:60" outlineLevel="1" x14ac:dyDescent="0.2">
      <c r="A273" s="162">
        <v>39</v>
      </c>
      <c r="B273" s="163" t="s">
        <v>355</v>
      </c>
      <c r="C273" s="164" t="s">
        <v>356</v>
      </c>
      <c r="D273" s="165" t="s">
        <v>230</v>
      </c>
      <c r="E273" s="166">
        <v>30</v>
      </c>
      <c r="F273" s="140"/>
      <c r="G273" s="167">
        <f>ROUND(E273*F273,2)</f>
        <v>0</v>
      </c>
      <c r="H273" s="168"/>
      <c r="I273" s="169">
        <f>ROUND(E273*H273,2)</f>
        <v>0</v>
      </c>
      <c r="J273" s="168"/>
      <c r="K273" s="169">
        <f>ROUND(E273*J273,2)</f>
        <v>0</v>
      </c>
      <c r="L273" s="169">
        <v>21</v>
      </c>
      <c r="M273" s="169">
        <f>G273*(1+L273/100)</f>
        <v>0</v>
      </c>
      <c r="N273" s="170">
        <v>0</v>
      </c>
      <c r="O273" s="170">
        <f>ROUND(E273*N273,2)</f>
        <v>0</v>
      </c>
      <c r="P273" s="170">
        <v>0.02</v>
      </c>
      <c r="Q273" s="170">
        <f>ROUND(E273*P273,2)</f>
        <v>0.6</v>
      </c>
      <c r="R273" s="169"/>
      <c r="S273" s="169" t="s">
        <v>143</v>
      </c>
      <c r="T273" s="169" t="s">
        <v>143</v>
      </c>
      <c r="U273" s="169">
        <v>0.05</v>
      </c>
      <c r="V273" s="169">
        <f>ROUND(E273*U273,2)</f>
        <v>1.5</v>
      </c>
      <c r="W273" s="169"/>
      <c r="X273" s="169" t="s">
        <v>144</v>
      </c>
      <c r="Y273" s="169" t="s">
        <v>145</v>
      </c>
      <c r="Z273" s="171"/>
      <c r="AA273" s="171"/>
      <c r="AB273" s="171"/>
      <c r="AC273" s="171"/>
      <c r="AD273" s="171"/>
      <c r="AE273" s="171"/>
      <c r="AF273" s="171"/>
      <c r="AG273" s="171" t="s">
        <v>146</v>
      </c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71"/>
      <c r="AZ273" s="171"/>
      <c r="BA273" s="171"/>
      <c r="BB273" s="171"/>
      <c r="BC273" s="171"/>
      <c r="BD273" s="171"/>
      <c r="BE273" s="171"/>
      <c r="BF273" s="171"/>
      <c r="BG273" s="171"/>
      <c r="BH273" s="171"/>
    </row>
    <row r="274" spans="1:60" outlineLevel="2" x14ac:dyDescent="0.2">
      <c r="A274" s="172"/>
      <c r="B274" s="173"/>
      <c r="C274" s="174" t="s">
        <v>357</v>
      </c>
      <c r="D274" s="175"/>
      <c r="E274" s="176"/>
      <c r="F274" s="196"/>
      <c r="G274" s="169"/>
      <c r="H274" s="169"/>
      <c r="I274" s="169"/>
      <c r="J274" s="169"/>
      <c r="K274" s="169"/>
      <c r="L274" s="169"/>
      <c r="M274" s="169"/>
      <c r="N274" s="170"/>
      <c r="O274" s="170"/>
      <c r="P274" s="170"/>
      <c r="Q274" s="170"/>
      <c r="R274" s="169"/>
      <c r="S274" s="169"/>
      <c r="T274" s="169"/>
      <c r="U274" s="169"/>
      <c r="V274" s="169"/>
      <c r="W274" s="169"/>
      <c r="X274" s="169"/>
      <c r="Y274" s="169"/>
      <c r="Z274" s="171"/>
      <c r="AA274" s="171"/>
      <c r="AB274" s="171"/>
      <c r="AC274" s="171"/>
      <c r="AD274" s="171"/>
      <c r="AE274" s="171"/>
      <c r="AF274" s="171"/>
      <c r="AG274" s="171" t="s">
        <v>148</v>
      </c>
      <c r="AH274" s="171">
        <v>0</v>
      </c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71"/>
      <c r="AZ274" s="171"/>
      <c r="BA274" s="171"/>
      <c r="BB274" s="171"/>
      <c r="BC274" s="171"/>
      <c r="BD274" s="171"/>
      <c r="BE274" s="171"/>
      <c r="BF274" s="171"/>
      <c r="BG274" s="171"/>
      <c r="BH274" s="171"/>
    </row>
    <row r="275" spans="1:60" outlineLevel="3" x14ac:dyDescent="0.2">
      <c r="A275" s="172"/>
      <c r="B275" s="173"/>
      <c r="C275" s="174" t="s">
        <v>149</v>
      </c>
      <c r="D275" s="175"/>
      <c r="E275" s="176"/>
      <c r="F275" s="196"/>
      <c r="G275" s="169"/>
      <c r="H275" s="169"/>
      <c r="I275" s="169"/>
      <c r="J275" s="169"/>
      <c r="K275" s="169"/>
      <c r="L275" s="169"/>
      <c r="M275" s="169"/>
      <c r="N275" s="170"/>
      <c r="O275" s="170"/>
      <c r="P275" s="170"/>
      <c r="Q275" s="170"/>
      <c r="R275" s="169"/>
      <c r="S275" s="169"/>
      <c r="T275" s="169"/>
      <c r="U275" s="169"/>
      <c r="V275" s="169"/>
      <c r="W275" s="169"/>
      <c r="X275" s="169"/>
      <c r="Y275" s="169"/>
      <c r="Z275" s="171"/>
      <c r="AA275" s="171"/>
      <c r="AB275" s="171"/>
      <c r="AC275" s="171"/>
      <c r="AD275" s="171"/>
      <c r="AE275" s="171"/>
      <c r="AF275" s="171"/>
      <c r="AG275" s="171" t="s">
        <v>148</v>
      </c>
      <c r="AH275" s="171">
        <v>0</v>
      </c>
      <c r="AI275" s="171"/>
      <c r="AJ275" s="171"/>
      <c r="AK275" s="171"/>
      <c r="AL275" s="171"/>
      <c r="AM275" s="171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71"/>
      <c r="AZ275" s="171"/>
      <c r="BA275" s="171"/>
      <c r="BB275" s="171"/>
      <c r="BC275" s="171"/>
      <c r="BD275" s="171"/>
      <c r="BE275" s="171"/>
      <c r="BF275" s="171"/>
      <c r="BG275" s="171"/>
      <c r="BH275" s="171"/>
    </row>
    <row r="276" spans="1:60" outlineLevel="3" x14ac:dyDescent="0.2">
      <c r="A276" s="172"/>
      <c r="B276" s="173"/>
      <c r="C276" s="174" t="s">
        <v>358</v>
      </c>
      <c r="D276" s="175"/>
      <c r="E276" s="176">
        <v>10</v>
      </c>
      <c r="F276" s="196"/>
      <c r="G276" s="169"/>
      <c r="H276" s="169"/>
      <c r="I276" s="169"/>
      <c r="J276" s="169"/>
      <c r="K276" s="169"/>
      <c r="L276" s="169"/>
      <c r="M276" s="169"/>
      <c r="N276" s="170"/>
      <c r="O276" s="170"/>
      <c r="P276" s="170"/>
      <c r="Q276" s="170"/>
      <c r="R276" s="169"/>
      <c r="S276" s="169"/>
      <c r="T276" s="169"/>
      <c r="U276" s="169"/>
      <c r="V276" s="169"/>
      <c r="W276" s="169"/>
      <c r="X276" s="169"/>
      <c r="Y276" s="169"/>
      <c r="Z276" s="171"/>
      <c r="AA276" s="171"/>
      <c r="AB276" s="171"/>
      <c r="AC276" s="171"/>
      <c r="AD276" s="171"/>
      <c r="AE276" s="171"/>
      <c r="AF276" s="171"/>
      <c r="AG276" s="171" t="s">
        <v>148</v>
      </c>
      <c r="AH276" s="171">
        <v>0</v>
      </c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71"/>
      <c r="AZ276" s="171"/>
      <c r="BA276" s="171"/>
      <c r="BB276" s="171"/>
      <c r="BC276" s="171"/>
      <c r="BD276" s="171"/>
      <c r="BE276" s="171"/>
      <c r="BF276" s="171"/>
      <c r="BG276" s="171"/>
      <c r="BH276" s="171"/>
    </row>
    <row r="277" spans="1:60" outlineLevel="3" x14ac:dyDescent="0.2">
      <c r="A277" s="172"/>
      <c r="B277" s="173"/>
      <c r="C277" s="174" t="s">
        <v>151</v>
      </c>
      <c r="D277" s="175"/>
      <c r="E277" s="176"/>
      <c r="F277" s="196"/>
      <c r="G277" s="169"/>
      <c r="H277" s="169"/>
      <c r="I277" s="169"/>
      <c r="J277" s="169"/>
      <c r="K277" s="169"/>
      <c r="L277" s="169"/>
      <c r="M277" s="169"/>
      <c r="N277" s="170"/>
      <c r="O277" s="170"/>
      <c r="P277" s="170"/>
      <c r="Q277" s="170"/>
      <c r="R277" s="169"/>
      <c r="S277" s="169"/>
      <c r="T277" s="169"/>
      <c r="U277" s="169"/>
      <c r="V277" s="169"/>
      <c r="W277" s="169"/>
      <c r="X277" s="169"/>
      <c r="Y277" s="169"/>
      <c r="Z277" s="171"/>
      <c r="AA277" s="171"/>
      <c r="AB277" s="171"/>
      <c r="AC277" s="171"/>
      <c r="AD277" s="171"/>
      <c r="AE277" s="171"/>
      <c r="AF277" s="171"/>
      <c r="AG277" s="171" t="s">
        <v>148</v>
      </c>
      <c r="AH277" s="171">
        <v>0</v>
      </c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1"/>
      <c r="AY277" s="171"/>
      <c r="AZ277" s="171"/>
      <c r="BA277" s="171"/>
      <c r="BB277" s="171"/>
      <c r="BC277" s="171"/>
      <c r="BD277" s="171"/>
      <c r="BE277" s="171"/>
      <c r="BF277" s="171"/>
      <c r="BG277" s="171"/>
      <c r="BH277" s="171"/>
    </row>
    <row r="278" spans="1:60" outlineLevel="3" x14ac:dyDescent="0.2">
      <c r="A278" s="172"/>
      <c r="B278" s="173"/>
      <c r="C278" s="174" t="s">
        <v>358</v>
      </c>
      <c r="D278" s="175"/>
      <c r="E278" s="176">
        <v>10</v>
      </c>
      <c r="F278" s="196"/>
      <c r="G278" s="169"/>
      <c r="H278" s="169"/>
      <c r="I278" s="169"/>
      <c r="J278" s="169"/>
      <c r="K278" s="169"/>
      <c r="L278" s="169"/>
      <c r="M278" s="169"/>
      <c r="N278" s="170"/>
      <c r="O278" s="170"/>
      <c r="P278" s="170"/>
      <c r="Q278" s="170"/>
      <c r="R278" s="169"/>
      <c r="S278" s="169"/>
      <c r="T278" s="169"/>
      <c r="U278" s="169"/>
      <c r="V278" s="169"/>
      <c r="W278" s="169"/>
      <c r="X278" s="169"/>
      <c r="Y278" s="169"/>
      <c r="Z278" s="171"/>
      <c r="AA278" s="171"/>
      <c r="AB278" s="171"/>
      <c r="AC278" s="171"/>
      <c r="AD278" s="171"/>
      <c r="AE278" s="171"/>
      <c r="AF278" s="171"/>
      <c r="AG278" s="171" t="s">
        <v>148</v>
      </c>
      <c r="AH278" s="171">
        <v>0</v>
      </c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  <c r="BE278" s="171"/>
      <c r="BF278" s="171"/>
      <c r="BG278" s="171"/>
      <c r="BH278" s="171"/>
    </row>
    <row r="279" spans="1:60" outlineLevel="3" x14ac:dyDescent="0.2">
      <c r="A279" s="172"/>
      <c r="B279" s="173"/>
      <c r="C279" s="174" t="s">
        <v>152</v>
      </c>
      <c r="D279" s="175"/>
      <c r="E279" s="176"/>
      <c r="F279" s="196"/>
      <c r="G279" s="169"/>
      <c r="H279" s="169"/>
      <c r="I279" s="169"/>
      <c r="J279" s="169"/>
      <c r="K279" s="169"/>
      <c r="L279" s="169"/>
      <c r="M279" s="169"/>
      <c r="N279" s="170"/>
      <c r="O279" s="170"/>
      <c r="P279" s="170"/>
      <c r="Q279" s="170"/>
      <c r="R279" s="169"/>
      <c r="S279" s="169"/>
      <c r="T279" s="169"/>
      <c r="U279" s="169"/>
      <c r="V279" s="169"/>
      <c r="W279" s="169"/>
      <c r="X279" s="169"/>
      <c r="Y279" s="169"/>
      <c r="Z279" s="171"/>
      <c r="AA279" s="171"/>
      <c r="AB279" s="171"/>
      <c r="AC279" s="171"/>
      <c r="AD279" s="171"/>
      <c r="AE279" s="171"/>
      <c r="AF279" s="171"/>
      <c r="AG279" s="171" t="s">
        <v>148</v>
      </c>
      <c r="AH279" s="171">
        <v>0</v>
      </c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71"/>
      <c r="BB279" s="171"/>
      <c r="BC279" s="171"/>
      <c r="BD279" s="171"/>
      <c r="BE279" s="171"/>
      <c r="BF279" s="171"/>
      <c r="BG279" s="171"/>
      <c r="BH279" s="171"/>
    </row>
    <row r="280" spans="1:60" outlineLevel="3" x14ac:dyDescent="0.2">
      <c r="A280" s="172"/>
      <c r="B280" s="173"/>
      <c r="C280" s="174" t="s">
        <v>358</v>
      </c>
      <c r="D280" s="175"/>
      <c r="E280" s="176">
        <v>10</v>
      </c>
      <c r="F280" s="196"/>
      <c r="G280" s="169"/>
      <c r="H280" s="169"/>
      <c r="I280" s="169"/>
      <c r="J280" s="169"/>
      <c r="K280" s="169"/>
      <c r="L280" s="169"/>
      <c r="M280" s="169"/>
      <c r="N280" s="170"/>
      <c r="O280" s="170"/>
      <c r="P280" s="170"/>
      <c r="Q280" s="170"/>
      <c r="R280" s="169"/>
      <c r="S280" s="169"/>
      <c r="T280" s="169"/>
      <c r="U280" s="169"/>
      <c r="V280" s="169"/>
      <c r="W280" s="169"/>
      <c r="X280" s="169"/>
      <c r="Y280" s="169"/>
      <c r="Z280" s="171"/>
      <c r="AA280" s="171"/>
      <c r="AB280" s="171"/>
      <c r="AC280" s="171"/>
      <c r="AD280" s="171"/>
      <c r="AE280" s="171"/>
      <c r="AF280" s="171"/>
      <c r="AG280" s="171" t="s">
        <v>148</v>
      </c>
      <c r="AH280" s="171">
        <v>0</v>
      </c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  <c r="BE280" s="171"/>
      <c r="BF280" s="171"/>
      <c r="BG280" s="171"/>
      <c r="BH280" s="171"/>
    </row>
    <row r="281" spans="1:60" outlineLevel="1" x14ac:dyDescent="0.2">
      <c r="A281" s="162">
        <v>40</v>
      </c>
      <c r="B281" s="163" t="s">
        <v>359</v>
      </c>
      <c r="C281" s="164" t="s">
        <v>360</v>
      </c>
      <c r="D281" s="165" t="s">
        <v>159</v>
      </c>
      <c r="E281" s="166">
        <v>7.0919999999999996</v>
      </c>
      <c r="F281" s="140"/>
      <c r="G281" s="167">
        <f>ROUND(E281*F281,2)</f>
        <v>0</v>
      </c>
      <c r="H281" s="168"/>
      <c r="I281" s="169">
        <f>ROUND(E281*H281,2)</f>
        <v>0</v>
      </c>
      <c r="J281" s="168"/>
      <c r="K281" s="169">
        <f>ROUND(E281*J281,2)</f>
        <v>0</v>
      </c>
      <c r="L281" s="169">
        <v>21</v>
      </c>
      <c r="M281" s="169">
        <f>G281*(1+L281/100)</f>
        <v>0</v>
      </c>
      <c r="N281" s="170">
        <v>1.17E-3</v>
      </c>
      <c r="O281" s="170">
        <f>ROUND(E281*N281,2)</f>
        <v>0.01</v>
      </c>
      <c r="P281" s="170">
        <v>7.5999999999999998E-2</v>
      </c>
      <c r="Q281" s="170">
        <f>ROUND(E281*P281,2)</f>
        <v>0.54</v>
      </c>
      <c r="R281" s="169"/>
      <c r="S281" s="169" t="s">
        <v>143</v>
      </c>
      <c r="T281" s="169" t="s">
        <v>143</v>
      </c>
      <c r="U281" s="169">
        <v>0.93899999999999995</v>
      </c>
      <c r="V281" s="169">
        <f>ROUND(E281*U281,2)</f>
        <v>6.66</v>
      </c>
      <c r="W281" s="169"/>
      <c r="X281" s="169" t="s">
        <v>144</v>
      </c>
      <c r="Y281" s="169" t="s">
        <v>145</v>
      </c>
      <c r="Z281" s="171"/>
      <c r="AA281" s="171"/>
      <c r="AB281" s="171"/>
      <c r="AC281" s="171"/>
      <c r="AD281" s="171"/>
      <c r="AE281" s="171"/>
      <c r="AF281" s="171"/>
      <c r="AG281" s="171" t="s">
        <v>146</v>
      </c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71"/>
      <c r="BH281" s="171"/>
    </row>
    <row r="282" spans="1:60" outlineLevel="2" x14ac:dyDescent="0.2">
      <c r="A282" s="172"/>
      <c r="B282" s="173"/>
      <c r="C282" s="174" t="s">
        <v>361</v>
      </c>
      <c r="D282" s="175"/>
      <c r="E282" s="176"/>
      <c r="F282" s="196"/>
      <c r="G282" s="169"/>
      <c r="H282" s="169"/>
      <c r="I282" s="169"/>
      <c r="J282" s="169"/>
      <c r="K282" s="169"/>
      <c r="L282" s="169"/>
      <c r="M282" s="169"/>
      <c r="N282" s="170"/>
      <c r="O282" s="170"/>
      <c r="P282" s="170"/>
      <c r="Q282" s="170"/>
      <c r="R282" s="169"/>
      <c r="S282" s="169"/>
      <c r="T282" s="169"/>
      <c r="U282" s="169"/>
      <c r="V282" s="169"/>
      <c r="W282" s="169"/>
      <c r="X282" s="169"/>
      <c r="Y282" s="169"/>
      <c r="Z282" s="171"/>
      <c r="AA282" s="171"/>
      <c r="AB282" s="171"/>
      <c r="AC282" s="171"/>
      <c r="AD282" s="171"/>
      <c r="AE282" s="171"/>
      <c r="AF282" s="171"/>
      <c r="AG282" s="171" t="s">
        <v>148</v>
      </c>
      <c r="AH282" s="171">
        <v>0</v>
      </c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  <c r="BE282" s="171"/>
      <c r="BF282" s="171"/>
      <c r="BG282" s="171"/>
      <c r="BH282" s="171"/>
    </row>
    <row r="283" spans="1:60" outlineLevel="3" x14ac:dyDescent="0.2">
      <c r="A283" s="172"/>
      <c r="B283" s="173"/>
      <c r="C283" s="174" t="s">
        <v>149</v>
      </c>
      <c r="D283" s="175"/>
      <c r="E283" s="176"/>
      <c r="F283" s="196"/>
      <c r="G283" s="169"/>
      <c r="H283" s="169"/>
      <c r="I283" s="169"/>
      <c r="J283" s="169"/>
      <c r="K283" s="169"/>
      <c r="L283" s="169"/>
      <c r="M283" s="169"/>
      <c r="N283" s="170"/>
      <c r="O283" s="170"/>
      <c r="P283" s="170"/>
      <c r="Q283" s="170"/>
      <c r="R283" s="169"/>
      <c r="S283" s="169"/>
      <c r="T283" s="169"/>
      <c r="U283" s="169"/>
      <c r="V283" s="169"/>
      <c r="W283" s="169"/>
      <c r="X283" s="169"/>
      <c r="Y283" s="169"/>
      <c r="Z283" s="171"/>
      <c r="AA283" s="171"/>
      <c r="AB283" s="171"/>
      <c r="AC283" s="171"/>
      <c r="AD283" s="171"/>
      <c r="AE283" s="171"/>
      <c r="AF283" s="171"/>
      <c r="AG283" s="171" t="s">
        <v>148</v>
      </c>
      <c r="AH283" s="171">
        <v>0</v>
      </c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71"/>
      <c r="BH283" s="171"/>
    </row>
    <row r="284" spans="1:60" outlineLevel="3" x14ac:dyDescent="0.2">
      <c r="A284" s="172"/>
      <c r="B284" s="173"/>
      <c r="C284" s="174" t="s">
        <v>362</v>
      </c>
      <c r="D284" s="175"/>
      <c r="E284" s="176">
        <v>2.3639999999999999</v>
      </c>
      <c r="F284" s="196"/>
      <c r="G284" s="169"/>
      <c r="H284" s="169"/>
      <c r="I284" s="169"/>
      <c r="J284" s="169"/>
      <c r="K284" s="169"/>
      <c r="L284" s="169"/>
      <c r="M284" s="169"/>
      <c r="N284" s="170"/>
      <c r="O284" s="170"/>
      <c r="P284" s="170"/>
      <c r="Q284" s="170"/>
      <c r="R284" s="169"/>
      <c r="S284" s="169"/>
      <c r="T284" s="169"/>
      <c r="U284" s="169"/>
      <c r="V284" s="169"/>
      <c r="W284" s="169"/>
      <c r="X284" s="169"/>
      <c r="Y284" s="169"/>
      <c r="Z284" s="171"/>
      <c r="AA284" s="171"/>
      <c r="AB284" s="171"/>
      <c r="AC284" s="171"/>
      <c r="AD284" s="171"/>
      <c r="AE284" s="171"/>
      <c r="AF284" s="171"/>
      <c r="AG284" s="171" t="s">
        <v>148</v>
      </c>
      <c r="AH284" s="171">
        <v>0</v>
      </c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  <c r="AY284" s="171"/>
      <c r="AZ284" s="171"/>
      <c r="BA284" s="171"/>
      <c r="BB284" s="171"/>
      <c r="BC284" s="171"/>
      <c r="BD284" s="171"/>
      <c r="BE284" s="171"/>
      <c r="BF284" s="171"/>
      <c r="BG284" s="171"/>
      <c r="BH284" s="171"/>
    </row>
    <row r="285" spans="1:60" outlineLevel="3" x14ac:dyDescent="0.2">
      <c r="A285" s="172"/>
      <c r="B285" s="173"/>
      <c r="C285" s="174" t="s">
        <v>151</v>
      </c>
      <c r="D285" s="175"/>
      <c r="E285" s="176"/>
      <c r="F285" s="196"/>
      <c r="G285" s="169"/>
      <c r="H285" s="169"/>
      <c r="I285" s="169"/>
      <c r="J285" s="169"/>
      <c r="K285" s="169"/>
      <c r="L285" s="169"/>
      <c r="M285" s="169"/>
      <c r="N285" s="170"/>
      <c r="O285" s="170"/>
      <c r="P285" s="170"/>
      <c r="Q285" s="170"/>
      <c r="R285" s="169"/>
      <c r="S285" s="169"/>
      <c r="T285" s="169"/>
      <c r="U285" s="169"/>
      <c r="V285" s="169"/>
      <c r="W285" s="169"/>
      <c r="X285" s="169"/>
      <c r="Y285" s="169"/>
      <c r="Z285" s="171"/>
      <c r="AA285" s="171"/>
      <c r="AB285" s="171"/>
      <c r="AC285" s="171"/>
      <c r="AD285" s="171"/>
      <c r="AE285" s="171"/>
      <c r="AF285" s="171"/>
      <c r="AG285" s="171" t="s">
        <v>148</v>
      </c>
      <c r="AH285" s="171">
        <v>0</v>
      </c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71"/>
      <c r="BB285" s="171"/>
      <c r="BC285" s="171"/>
      <c r="BD285" s="171"/>
      <c r="BE285" s="171"/>
      <c r="BF285" s="171"/>
      <c r="BG285" s="171"/>
      <c r="BH285" s="171"/>
    </row>
    <row r="286" spans="1:60" outlineLevel="3" x14ac:dyDescent="0.2">
      <c r="A286" s="172"/>
      <c r="B286" s="173"/>
      <c r="C286" s="174" t="s">
        <v>362</v>
      </c>
      <c r="D286" s="175"/>
      <c r="E286" s="176">
        <v>2.3639999999999999</v>
      </c>
      <c r="F286" s="196"/>
      <c r="G286" s="169"/>
      <c r="H286" s="169"/>
      <c r="I286" s="169"/>
      <c r="J286" s="169"/>
      <c r="K286" s="169"/>
      <c r="L286" s="169"/>
      <c r="M286" s="169"/>
      <c r="N286" s="170"/>
      <c r="O286" s="170"/>
      <c r="P286" s="170"/>
      <c r="Q286" s="170"/>
      <c r="R286" s="169"/>
      <c r="S286" s="169"/>
      <c r="T286" s="169"/>
      <c r="U286" s="169"/>
      <c r="V286" s="169"/>
      <c r="W286" s="169"/>
      <c r="X286" s="169"/>
      <c r="Y286" s="169"/>
      <c r="Z286" s="171"/>
      <c r="AA286" s="171"/>
      <c r="AB286" s="171"/>
      <c r="AC286" s="171"/>
      <c r="AD286" s="171"/>
      <c r="AE286" s="171"/>
      <c r="AF286" s="171"/>
      <c r="AG286" s="171" t="s">
        <v>148</v>
      </c>
      <c r="AH286" s="171">
        <v>0</v>
      </c>
      <c r="AI286" s="171"/>
      <c r="AJ286" s="171"/>
      <c r="AK286" s="171"/>
      <c r="AL286" s="171"/>
      <c r="AM286" s="171"/>
      <c r="AN286" s="171"/>
      <c r="AO286" s="171"/>
      <c r="AP286" s="171"/>
      <c r="AQ286" s="171"/>
      <c r="AR286" s="171"/>
      <c r="AS286" s="171"/>
      <c r="AT286" s="171"/>
      <c r="AU286" s="171"/>
      <c r="AV286" s="171"/>
      <c r="AW286" s="171"/>
      <c r="AX286" s="171"/>
      <c r="AY286" s="171"/>
      <c r="AZ286" s="171"/>
      <c r="BA286" s="171"/>
      <c r="BB286" s="171"/>
      <c r="BC286" s="171"/>
      <c r="BD286" s="171"/>
      <c r="BE286" s="171"/>
      <c r="BF286" s="171"/>
      <c r="BG286" s="171"/>
      <c r="BH286" s="171"/>
    </row>
    <row r="287" spans="1:60" outlineLevel="3" x14ac:dyDescent="0.2">
      <c r="A287" s="172"/>
      <c r="B287" s="173"/>
      <c r="C287" s="174" t="s">
        <v>152</v>
      </c>
      <c r="D287" s="175"/>
      <c r="E287" s="176"/>
      <c r="F287" s="196"/>
      <c r="G287" s="169"/>
      <c r="H287" s="169"/>
      <c r="I287" s="169"/>
      <c r="J287" s="169"/>
      <c r="K287" s="169"/>
      <c r="L287" s="169"/>
      <c r="M287" s="169"/>
      <c r="N287" s="170"/>
      <c r="O287" s="170"/>
      <c r="P287" s="170"/>
      <c r="Q287" s="170"/>
      <c r="R287" s="169"/>
      <c r="S287" s="169"/>
      <c r="T287" s="169"/>
      <c r="U287" s="169"/>
      <c r="V287" s="169"/>
      <c r="W287" s="169"/>
      <c r="X287" s="169"/>
      <c r="Y287" s="169"/>
      <c r="Z287" s="171"/>
      <c r="AA287" s="171"/>
      <c r="AB287" s="171"/>
      <c r="AC287" s="171"/>
      <c r="AD287" s="171"/>
      <c r="AE287" s="171"/>
      <c r="AF287" s="171"/>
      <c r="AG287" s="171" t="s">
        <v>148</v>
      </c>
      <c r="AH287" s="171">
        <v>0</v>
      </c>
      <c r="AI287" s="171"/>
      <c r="AJ287" s="171"/>
      <c r="AK287" s="171"/>
      <c r="AL287" s="171"/>
      <c r="AM287" s="171"/>
      <c r="AN287" s="171"/>
      <c r="AO287" s="171"/>
      <c r="AP287" s="171"/>
      <c r="AQ287" s="171"/>
      <c r="AR287" s="171"/>
      <c r="AS287" s="171"/>
      <c r="AT287" s="171"/>
      <c r="AU287" s="171"/>
      <c r="AV287" s="171"/>
      <c r="AW287" s="171"/>
      <c r="AX287" s="171"/>
      <c r="AY287" s="171"/>
      <c r="AZ287" s="171"/>
      <c r="BA287" s="171"/>
      <c r="BB287" s="171"/>
      <c r="BC287" s="171"/>
      <c r="BD287" s="171"/>
      <c r="BE287" s="171"/>
      <c r="BF287" s="171"/>
      <c r="BG287" s="171"/>
      <c r="BH287" s="171"/>
    </row>
    <row r="288" spans="1:60" outlineLevel="3" x14ac:dyDescent="0.2">
      <c r="A288" s="172"/>
      <c r="B288" s="173"/>
      <c r="C288" s="174" t="s">
        <v>362</v>
      </c>
      <c r="D288" s="175"/>
      <c r="E288" s="176">
        <v>2.3639999999999999</v>
      </c>
      <c r="F288" s="196"/>
      <c r="G288" s="169"/>
      <c r="H288" s="169"/>
      <c r="I288" s="169"/>
      <c r="J288" s="169"/>
      <c r="K288" s="169"/>
      <c r="L288" s="169"/>
      <c r="M288" s="169"/>
      <c r="N288" s="170"/>
      <c r="O288" s="170"/>
      <c r="P288" s="170"/>
      <c r="Q288" s="170"/>
      <c r="R288" s="169"/>
      <c r="S288" s="169"/>
      <c r="T288" s="169"/>
      <c r="U288" s="169"/>
      <c r="V288" s="169"/>
      <c r="W288" s="169"/>
      <c r="X288" s="169"/>
      <c r="Y288" s="169"/>
      <c r="Z288" s="171"/>
      <c r="AA288" s="171"/>
      <c r="AB288" s="171"/>
      <c r="AC288" s="171"/>
      <c r="AD288" s="171"/>
      <c r="AE288" s="171"/>
      <c r="AF288" s="171"/>
      <c r="AG288" s="171" t="s">
        <v>148</v>
      </c>
      <c r="AH288" s="171">
        <v>0</v>
      </c>
      <c r="AI288" s="171"/>
      <c r="AJ288" s="171"/>
      <c r="AK288" s="171"/>
      <c r="AL288" s="171"/>
      <c r="AM288" s="171"/>
      <c r="AN288" s="171"/>
      <c r="AO288" s="171"/>
      <c r="AP288" s="171"/>
      <c r="AQ288" s="171"/>
      <c r="AR288" s="171"/>
      <c r="AS288" s="171"/>
      <c r="AT288" s="171"/>
      <c r="AU288" s="171"/>
      <c r="AV288" s="171"/>
      <c r="AW288" s="171"/>
      <c r="AX288" s="171"/>
      <c r="AY288" s="171"/>
      <c r="AZ288" s="171"/>
      <c r="BA288" s="171"/>
      <c r="BB288" s="171"/>
      <c r="BC288" s="171"/>
      <c r="BD288" s="171"/>
      <c r="BE288" s="171"/>
      <c r="BF288" s="171"/>
      <c r="BG288" s="171"/>
      <c r="BH288" s="171"/>
    </row>
    <row r="289" spans="1:60" outlineLevel="1" x14ac:dyDescent="0.2">
      <c r="A289" s="162">
        <v>41</v>
      </c>
      <c r="B289" s="163" t="s">
        <v>363</v>
      </c>
      <c r="C289" s="164" t="s">
        <v>364</v>
      </c>
      <c r="D289" s="165" t="s">
        <v>159</v>
      </c>
      <c r="E289" s="166">
        <v>4.7249999999999996</v>
      </c>
      <c r="F289" s="140"/>
      <c r="G289" s="167">
        <f>ROUND(E289*F289,2)</f>
        <v>0</v>
      </c>
      <c r="H289" s="168"/>
      <c r="I289" s="169">
        <f>ROUND(E289*H289,2)</f>
        <v>0</v>
      </c>
      <c r="J289" s="168"/>
      <c r="K289" s="169">
        <f>ROUND(E289*J289,2)</f>
        <v>0</v>
      </c>
      <c r="L289" s="169">
        <v>21</v>
      </c>
      <c r="M289" s="169">
        <f>G289*(1+L289/100)</f>
        <v>0</v>
      </c>
      <c r="N289" s="170">
        <v>1.65E-3</v>
      </c>
      <c r="O289" s="170">
        <f>ROUND(E289*N289,2)</f>
        <v>0.01</v>
      </c>
      <c r="P289" s="170">
        <v>0.187</v>
      </c>
      <c r="Q289" s="170">
        <f>ROUND(E289*P289,2)</f>
        <v>0.88</v>
      </c>
      <c r="R289" s="169"/>
      <c r="S289" s="169" t="s">
        <v>143</v>
      </c>
      <c r="T289" s="169" t="s">
        <v>143</v>
      </c>
      <c r="U289" s="169">
        <v>0.48</v>
      </c>
      <c r="V289" s="169">
        <f>ROUND(E289*U289,2)</f>
        <v>2.27</v>
      </c>
      <c r="W289" s="169"/>
      <c r="X289" s="169" t="s">
        <v>144</v>
      </c>
      <c r="Y289" s="169" t="s">
        <v>145</v>
      </c>
      <c r="Z289" s="171"/>
      <c r="AA289" s="171"/>
      <c r="AB289" s="171"/>
      <c r="AC289" s="171"/>
      <c r="AD289" s="171"/>
      <c r="AE289" s="171"/>
      <c r="AF289" s="171"/>
      <c r="AG289" s="171" t="s">
        <v>146</v>
      </c>
      <c r="AH289" s="171"/>
      <c r="AI289" s="171"/>
      <c r="AJ289" s="171"/>
      <c r="AK289" s="171"/>
      <c r="AL289" s="171"/>
      <c r="AM289" s="171"/>
      <c r="AN289" s="171"/>
      <c r="AO289" s="171"/>
      <c r="AP289" s="171"/>
      <c r="AQ289" s="17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71"/>
      <c r="BB289" s="171"/>
      <c r="BC289" s="171"/>
      <c r="BD289" s="171"/>
      <c r="BE289" s="171"/>
      <c r="BF289" s="171"/>
      <c r="BG289" s="171"/>
      <c r="BH289" s="171"/>
    </row>
    <row r="290" spans="1:60" outlineLevel="2" x14ac:dyDescent="0.2">
      <c r="A290" s="172"/>
      <c r="B290" s="173"/>
      <c r="C290" s="174" t="s">
        <v>365</v>
      </c>
      <c r="D290" s="175"/>
      <c r="E290" s="176"/>
      <c r="F290" s="196"/>
      <c r="G290" s="169"/>
      <c r="H290" s="169"/>
      <c r="I290" s="169"/>
      <c r="J290" s="169"/>
      <c r="K290" s="169"/>
      <c r="L290" s="169"/>
      <c r="M290" s="169"/>
      <c r="N290" s="170"/>
      <c r="O290" s="170"/>
      <c r="P290" s="170"/>
      <c r="Q290" s="170"/>
      <c r="R290" s="169"/>
      <c r="S290" s="169"/>
      <c r="T290" s="169"/>
      <c r="U290" s="169"/>
      <c r="V290" s="169"/>
      <c r="W290" s="169"/>
      <c r="X290" s="169"/>
      <c r="Y290" s="169"/>
      <c r="Z290" s="171"/>
      <c r="AA290" s="171"/>
      <c r="AB290" s="171"/>
      <c r="AC290" s="171"/>
      <c r="AD290" s="171"/>
      <c r="AE290" s="171"/>
      <c r="AF290" s="171"/>
      <c r="AG290" s="171" t="s">
        <v>148</v>
      </c>
      <c r="AH290" s="171">
        <v>0</v>
      </c>
      <c r="AI290" s="171"/>
      <c r="AJ290" s="171"/>
      <c r="AK290" s="171"/>
      <c r="AL290" s="171"/>
      <c r="AM290" s="171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1"/>
      <c r="BG290" s="171"/>
      <c r="BH290" s="171"/>
    </row>
    <row r="291" spans="1:60" outlineLevel="3" x14ac:dyDescent="0.2">
      <c r="A291" s="172"/>
      <c r="B291" s="173"/>
      <c r="C291" s="174" t="s">
        <v>149</v>
      </c>
      <c r="D291" s="175"/>
      <c r="E291" s="176"/>
      <c r="F291" s="196"/>
      <c r="G291" s="169"/>
      <c r="H291" s="169"/>
      <c r="I291" s="169"/>
      <c r="J291" s="169"/>
      <c r="K291" s="169"/>
      <c r="L291" s="169"/>
      <c r="M291" s="169"/>
      <c r="N291" s="170"/>
      <c r="O291" s="170"/>
      <c r="P291" s="170"/>
      <c r="Q291" s="170"/>
      <c r="R291" s="169"/>
      <c r="S291" s="169"/>
      <c r="T291" s="169"/>
      <c r="U291" s="169"/>
      <c r="V291" s="169"/>
      <c r="W291" s="169"/>
      <c r="X291" s="169"/>
      <c r="Y291" s="169"/>
      <c r="Z291" s="171"/>
      <c r="AA291" s="171"/>
      <c r="AB291" s="171"/>
      <c r="AC291" s="171"/>
      <c r="AD291" s="171"/>
      <c r="AE291" s="171"/>
      <c r="AF291" s="171"/>
      <c r="AG291" s="171" t="s">
        <v>148</v>
      </c>
      <c r="AH291" s="171">
        <v>0</v>
      </c>
      <c r="AI291" s="171"/>
      <c r="AJ291" s="171"/>
      <c r="AK291" s="171"/>
      <c r="AL291" s="171"/>
      <c r="AM291" s="171"/>
      <c r="AN291" s="171"/>
      <c r="AO291" s="171"/>
      <c r="AP291" s="171"/>
      <c r="AQ291" s="171"/>
      <c r="AR291" s="171"/>
      <c r="AS291" s="171"/>
      <c r="AT291" s="171"/>
      <c r="AU291" s="171"/>
      <c r="AV291" s="171"/>
      <c r="AW291" s="171"/>
      <c r="AX291" s="171"/>
      <c r="AY291" s="171"/>
      <c r="AZ291" s="171"/>
      <c r="BA291" s="171"/>
      <c r="BB291" s="171"/>
      <c r="BC291" s="171"/>
      <c r="BD291" s="171"/>
      <c r="BE291" s="171"/>
      <c r="BF291" s="171"/>
      <c r="BG291" s="171"/>
      <c r="BH291" s="171"/>
    </row>
    <row r="292" spans="1:60" outlineLevel="3" x14ac:dyDescent="0.2">
      <c r="A292" s="172"/>
      <c r="B292" s="173"/>
      <c r="C292" s="174" t="s">
        <v>366</v>
      </c>
      <c r="D292" s="175"/>
      <c r="E292" s="176">
        <v>1.575</v>
      </c>
      <c r="F292" s="196"/>
      <c r="G292" s="169"/>
      <c r="H292" s="169"/>
      <c r="I292" s="169"/>
      <c r="J292" s="169"/>
      <c r="K292" s="169"/>
      <c r="L292" s="169"/>
      <c r="M292" s="169"/>
      <c r="N292" s="170"/>
      <c r="O292" s="170"/>
      <c r="P292" s="170"/>
      <c r="Q292" s="170"/>
      <c r="R292" s="169"/>
      <c r="S292" s="169"/>
      <c r="T292" s="169"/>
      <c r="U292" s="169"/>
      <c r="V292" s="169"/>
      <c r="W292" s="169"/>
      <c r="X292" s="169"/>
      <c r="Y292" s="169"/>
      <c r="Z292" s="171"/>
      <c r="AA292" s="171"/>
      <c r="AB292" s="171"/>
      <c r="AC292" s="171"/>
      <c r="AD292" s="171"/>
      <c r="AE292" s="171"/>
      <c r="AF292" s="171"/>
      <c r="AG292" s="171" t="s">
        <v>148</v>
      </c>
      <c r="AH292" s="171">
        <v>0</v>
      </c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  <c r="BE292" s="171"/>
      <c r="BF292" s="171"/>
      <c r="BG292" s="171"/>
      <c r="BH292" s="171"/>
    </row>
    <row r="293" spans="1:60" outlineLevel="3" x14ac:dyDescent="0.2">
      <c r="A293" s="172"/>
      <c r="B293" s="173"/>
      <c r="C293" s="174" t="s">
        <v>365</v>
      </c>
      <c r="D293" s="175"/>
      <c r="E293" s="176"/>
      <c r="F293" s="196"/>
      <c r="G293" s="169"/>
      <c r="H293" s="169"/>
      <c r="I293" s="169"/>
      <c r="J293" s="169"/>
      <c r="K293" s="169"/>
      <c r="L293" s="169"/>
      <c r="M293" s="169"/>
      <c r="N293" s="170"/>
      <c r="O293" s="170"/>
      <c r="P293" s="170"/>
      <c r="Q293" s="170"/>
      <c r="R293" s="169"/>
      <c r="S293" s="169"/>
      <c r="T293" s="169"/>
      <c r="U293" s="169"/>
      <c r="V293" s="169"/>
      <c r="W293" s="169"/>
      <c r="X293" s="169"/>
      <c r="Y293" s="169"/>
      <c r="Z293" s="171"/>
      <c r="AA293" s="171"/>
      <c r="AB293" s="171"/>
      <c r="AC293" s="171"/>
      <c r="AD293" s="171"/>
      <c r="AE293" s="171"/>
      <c r="AF293" s="171"/>
      <c r="AG293" s="171" t="s">
        <v>148</v>
      </c>
      <c r="AH293" s="171">
        <v>0</v>
      </c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  <c r="BE293" s="171"/>
      <c r="BF293" s="171"/>
      <c r="BG293" s="171"/>
      <c r="BH293" s="171"/>
    </row>
    <row r="294" spans="1:60" outlineLevel="3" x14ac:dyDescent="0.2">
      <c r="A294" s="172"/>
      <c r="B294" s="173"/>
      <c r="C294" s="174" t="s">
        <v>151</v>
      </c>
      <c r="D294" s="175"/>
      <c r="E294" s="176"/>
      <c r="F294" s="196"/>
      <c r="G294" s="169"/>
      <c r="H294" s="169"/>
      <c r="I294" s="169"/>
      <c r="J294" s="169"/>
      <c r="K294" s="169"/>
      <c r="L294" s="169"/>
      <c r="M294" s="169"/>
      <c r="N294" s="170"/>
      <c r="O294" s="170"/>
      <c r="P294" s="170"/>
      <c r="Q294" s="170"/>
      <c r="R294" s="169"/>
      <c r="S294" s="169"/>
      <c r="T294" s="169"/>
      <c r="U294" s="169"/>
      <c r="V294" s="169"/>
      <c r="W294" s="169"/>
      <c r="X294" s="169"/>
      <c r="Y294" s="169"/>
      <c r="Z294" s="171"/>
      <c r="AA294" s="171"/>
      <c r="AB294" s="171"/>
      <c r="AC294" s="171"/>
      <c r="AD294" s="171"/>
      <c r="AE294" s="171"/>
      <c r="AF294" s="171"/>
      <c r="AG294" s="171" t="s">
        <v>148</v>
      </c>
      <c r="AH294" s="171">
        <v>0</v>
      </c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</row>
    <row r="295" spans="1:60" outlineLevel="3" x14ac:dyDescent="0.2">
      <c r="A295" s="172"/>
      <c r="B295" s="173"/>
      <c r="C295" s="174" t="s">
        <v>366</v>
      </c>
      <c r="D295" s="175"/>
      <c r="E295" s="176">
        <v>1.575</v>
      </c>
      <c r="F295" s="196"/>
      <c r="G295" s="169"/>
      <c r="H295" s="169"/>
      <c r="I295" s="169"/>
      <c r="J295" s="169"/>
      <c r="K295" s="169"/>
      <c r="L295" s="169"/>
      <c r="M295" s="169"/>
      <c r="N295" s="170"/>
      <c r="O295" s="170"/>
      <c r="P295" s="170"/>
      <c r="Q295" s="170"/>
      <c r="R295" s="169"/>
      <c r="S295" s="169"/>
      <c r="T295" s="169"/>
      <c r="U295" s="169"/>
      <c r="V295" s="169"/>
      <c r="W295" s="169"/>
      <c r="X295" s="169"/>
      <c r="Y295" s="169"/>
      <c r="Z295" s="171"/>
      <c r="AA295" s="171"/>
      <c r="AB295" s="171"/>
      <c r="AC295" s="171"/>
      <c r="AD295" s="171"/>
      <c r="AE295" s="171"/>
      <c r="AF295" s="171"/>
      <c r="AG295" s="171" t="s">
        <v>148</v>
      </c>
      <c r="AH295" s="171">
        <v>0</v>
      </c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  <c r="BE295" s="171"/>
      <c r="BF295" s="171"/>
      <c r="BG295" s="171"/>
      <c r="BH295" s="171"/>
    </row>
    <row r="296" spans="1:60" outlineLevel="3" x14ac:dyDescent="0.2">
      <c r="A296" s="172"/>
      <c r="B296" s="173"/>
      <c r="C296" s="174" t="s">
        <v>365</v>
      </c>
      <c r="D296" s="175"/>
      <c r="E296" s="176"/>
      <c r="F296" s="196"/>
      <c r="G296" s="169"/>
      <c r="H296" s="169"/>
      <c r="I296" s="169"/>
      <c r="J296" s="169"/>
      <c r="K296" s="169"/>
      <c r="L296" s="169"/>
      <c r="M296" s="169"/>
      <c r="N296" s="170"/>
      <c r="O296" s="170"/>
      <c r="P296" s="170"/>
      <c r="Q296" s="170"/>
      <c r="R296" s="169"/>
      <c r="S296" s="169"/>
      <c r="T296" s="169"/>
      <c r="U296" s="169"/>
      <c r="V296" s="169"/>
      <c r="W296" s="169"/>
      <c r="X296" s="169"/>
      <c r="Y296" s="169"/>
      <c r="Z296" s="171"/>
      <c r="AA296" s="171"/>
      <c r="AB296" s="171"/>
      <c r="AC296" s="171"/>
      <c r="AD296" s="171"/>
      <c r="AE296" s="171"/>
      <c r="AF296" s="171"/>
      <c r="AG296" s="171" t="s">
        <v>148</v>
      </c>
      <c r="AH296" s="171">
        <v>0</v>
      </c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  <c r="BE296" s="171"/>
      <c r="BF296" s="171"/>
      <c r="BG296" s="171"/>
      <c r="BH296" s="171"/>
    </row>
    <row r="297" spans="1:60" outlineLevel="3" x14ac:dyDescent="0.2">
      <c r="A297" s="172"/>
      <c r="B297" s="173"/>
      <c r="C297" s="174" t="s">
        <v>152</v>
      </c>
      <c r="D297" s="175"/>
      <c r="E297" s="176"/>
      <c r="F297" s="196"/>
      <c r="G297" s="169"/>
      <c r="H297" s="169"/>
      <c r="I297" s="169"/>
      <c r="J297" s="169"/>
      <c r="K297" s="169"/>
      <c r="L297" s="169"/>
      <c r="M297" s="169"/>
      <c r="N297" s="170"/>
      <c r="O297" s="170"/>
      <c r="P297" s="170"/>
      <c r="Q297" s="170"/>
      <c r="R297" s="169"/>
      <c r="S297" s="169"/>
      <c r="T297" s="169"/>
      <c r="U297" s="169"/>
      <c r="V297" s="169"/>
      <c r="W297" s="169"/>
      <c r="X297" s="169"/>
      <c r="Y297" s="169"/>
      <c r="Z297" s="171"/>
      <c r="AA297" s="171"/>
      <c r="AB297" s="171"/>
      <c r="AC297" s="171"/>
      <c r="AD297" s="171"/>
      <c r="AE297" s="171"/>
      <c r="AF297" s="171"/>
      <c r="AG297" s="171" t="s">
        <v>148</v>
      </c>
      <c r="AH297" s="171">
        <v>0</v>
      </c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  <c r="BE297" s="171"/>
      <c r="BF297" s="171"/>
      <c r="BG297" s="171"/>
      <c r="BH297" s="171"/>
    </row>
    <row r="298" spans="1:60" outlineLevel="3" x14ac:dyDescent="0.2">
      <c r="A298" s="172"/>
      <c r="B298" s="173"/>
      <c r="C298" s="174" t="s">
        <v>366</v>
      </c>
      <c r="D298" s="175"/>
      <c r="E298" s="176">
        <v>1.575</v>
      </c>
      <c r="F298" s="196"/>
      <c r="G298" s="169"/>
      <c r="H298" s="169"/>
      <c r="I298" s="169"/>
      <c r="J298" s="169"/>
      <c r="K298" s="169"/>
      <c r="L298" s="169"/>
      <c r="M298" s="169"/>
      <c r="N298" s="170"/>
      <c r="O298" s="170"/>
      <c r="P298" s="170"/>
      <c r="Q298" s="170"/>
      <c r="R298" s="169"/>
      <c r="S298" s="169"/>
      <c r="T298" s="169"/>
      <c r="U298" s="169"/>
      <c r="V298" s="169"/>
      <c r="W298" s="169"/>
      <c r="X298" s="169"/>
      <c r="Y298" s="169"/>
      <c r="Z298" s="171"/>
      <c r="AA298" s="171"/>
      <c r="AB298" s="171"/>
      <c r="AC298" s="171"/>
      <c r="AD298" s="171"/>
      <c r="AE298" s="171"/>
      <c r="AF298" s="171"/>
      <c r="AG298" s="171" t="s">
        <v>148</v>
      </c>
      <c r="AH298" s="171">
        <v>0</v>
      </c>
      <c r="AI298" s="171"/>
      <c r="AJ298" s="171"/>
      <c r="AK298" s="171"/>
      <c r="AL298" s="171"/>
      <c r="AM298" s="171"/>
      <c r="AN298" s="171"/>
      <c r="AO298" s="171"/>
      <c r="AP298" s="171"/>
      <c r="AQ298" s="171"/>
      <c r="AR298" s="171"/>
      <c r="AS298" s="171"/>
      <c r="AT298" s="171"/>
      <c r="AU298" s="171"/>
      <c r="AV298" s="171"/>
      <c r="AW298" s="171"/>
      <c r="AX298" s="171"/>
      <c r="AY298" s="171"/>
      <c r="AZ298" s="171"/>
      <c r="BA298" s="171"/>
      <c r="BB298" s="171"/>
      <c r="BC298" s="171"/>
      <c r="BD298" s="171"/>
      <c r="BE298" s="171"/>
      <c r="BF298" s="171"/>
      <c r="BG298" s="171"/>
      <c r="BH298" s="171"/>
    </row>
    <row r="299" spans="1:60" outlineLevel="1" x14ac:dyDescent="0.2">
      <c r="A299" s="162">
        <v>42</v>
      </c>
      <c r="B299" s="163" t="s">
        <v>367</v>
      </c>
      <c r="C299" s="164" t="s">
        <v>368</v>
      </c>
      <c r="D299" s="165" t="s">
        <v>159</v>
      </c>
      <c r="E299" s="166">
        <v>12.874000000000001</v>
      </c>
      <c r="F299" s="140"/>
      <c r="G299" s="167">
        <f>ROUND(E299*F299,2)</f>
        <v>0</v>
      </c>
      <c r="H299" s="168"/>
      <c r="I299" s="169">
        <f>ROUND(E299*H299,2)</f>
        <v>0</v>
      </c>
      <c r="J299" s="168"/>
      <c r="K299" s="169">
        <f>ROUND(E299*J299,2)</f>
        <v>0</v>
      </c>
      <c r="L299" s="169">
        <v>21</v>
      </c>
      <c r="M299" s="169">
        <f>G299*(1+L299/100)</f>
        <v>0</v>
      </c>
      <c r="N299" s="170">
        <v>5.4000000000000001E-4</v>
      </c>
      <c r="O299" s="170">
        <f>ROUND(E299*N299,2)</f>
        <v>0.01</v>
      </c>
      <c r="P299" s="170">
        <v>0.18</v>
      </c>
      <c r="Q299" s="170">
        <f>ROUND(E299*P299,2)</f>
        <v>2.3199999999999998</v>
      </c>
      <c r="R299" s="169"/>
      <c r="S299" s="169" t="s">
        <v>143</v>
      </c>
      <c r="T299" s="169" t="s">
        <v>143</v>
      </c>
      <c r="U299" s="169">
        <v>0.309</v>
      </c>
      <c r="V299" s="169">
        <f>ROUND(E299*U299,2)</f>
        <v>3.98</v>
      </c>
      <c r="W299" s="169"/>
      <c r="X299" s="169" t="s">
        <v>144</v>
      </c>
      <c r="Y299" s="169" t="s">
        <v>145</v>
      </c>
      <c r="Z299" s="171"/>
      <c r="AA299" s="171"/>
      <c r="AB299" s="171"/>
      <c r="AC299" s="171"/>
      <c r="AD299" s="171"/>
      <c r="AE299" s="171"/>
      <c r="AF299" s="171"/>
      <c r="AG299" s="171" t="s">
        <v>146</v>
      </c>
      <c r="AH299" s="171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  <c r="AY299" s="171"/>
      <c r="AZ299" s="171"/>
      <c r="BA299" s="171"/>
      <c r="BB299" s="171"/>
      <c r="BC299" s="171"/>
      <c r="BD299" s="171"/>
      <c r="BE299" s="171"/>
      <c r="BF299" s="171"/>
      <c r="BG299" s="171"/>
      <c r="BH299" s="171"/>
    </row>
    <row r="300" spans="1:60" outlineLevel="2" x14ac:dyDescent="0.2">
      <c r="A300" s="172"/>
      <c r="B300" s="173"/>
      <c r="C300" s="174" t="s">
        <v>369</v>
      </c>
      <c r="D300" s="175"/>
      <c r="E300" s="176"/>
      <c r="F300" s="196"/>
      <c r="G300" s="169"/>
      <c r="H300" s="169"/>
      <c r="I300" s="169"/>
      <c r="J300" s="169"/>
      <c r="K300" s="169"/>
      <c r="L300" s="169"/>
      <c r="M300" s="169"/>
      <c r="N300" s="170"/>
      <c r="O300" s="170"/>
      <c r="P300" s="170"/>
      <c r="Q300" s="170"/>
      <c r="R300" s="169"/>
      <c r="S300" s="169"/>
      <c r="T300" s="169"/>
      <c r="U300" s="169"/>
      <c r="V300" s="169"/>
      <c r="W300" s="169"/>
      <c r="X300" s="169"/>
      <c r="Y300" s="169"/>
      <c r="Z300" s="171"/>
      <c r="AA300" s="171"/>
      <c r="AB300" s="171"/>
      <c r="AC300" s="171"/>
      <c r="AD300" s="171"/>
      <c r="AE300" s="171"/>
      <c r="AF300" s="171"/>
      <c r="AG300" s="171" t="s">
        <v>148</v>
      </c>
      <c r="AH300" s="171">
        <v>0</v>
      </c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  <c r="BE300" s="171"/>
      <c r="BF300" s="171"/>
      <c r="BG300" s="171"/>
      <c r="BH300" s="171"/>
    </row>
    <row r="301" spans="1:60" outlineLevel="3" x14ac:dyDescent="0.2">
      <c r="A301" s="172"/>
      <c r="B301" s="173"/>
      <c r="C301" s="174" t="s">
        <v>149</v>
      </c>
      <c r="D301" s="175"/>
      <c r="E301" s="176"/>
      <c r="F301" s="196"/>
      <c r="G301" s="169"/>
      <c r="H301" s="169"/>
      <c r="I301" s="169"/>
      <c r="J301" s="169"/>
      <c r="K301" s="169"/>
      <c r="L301" s="169"/>
      <c r="M301" s="169"/>
      <c r="N301" s="170"/>
      <c r="O301" s="170"/>
      <c r="P301" s="170"/>
      <c r="Q301" s="170"/>
      <c r="R301" s="169"/>
      <c r="S301" s="169"/>
      <c r="T301" s="169"/>
      <c r="U301" s="169"/>
      <c r="V301" s="169"/>
      <c r="W301" s="169"/>
      <c r="X301" s="169"/>
      <c r="Y301" s="169"/>
      <c r="Z301" s="171"/>
      <c r="AA301" s="171"/>
      <c r="AB301" s="171"/>
      <c r="AC301" s="171"/>
      <c r="AD301" s="171"/>
      <c r="AE301" s="171"/>
      <c r="AF301" s="171"/>
      <c r="AG301" s="171" t="s">
        <v>148</v>
      </c>
      <c r="AH301" s="171">
        <v>0</v>
      </c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  <c r="BE301" s="171"/>
      <c r="BF301" s="171"/>
      <c r="BG301" s="171"/>
      <c r="BH301" s="171"/>
    </row>
    <row r="302" spans="1:60" outlineLevel="3" x14ac:dyDescent="0.2">
      <c r="A302" s="172"/>
      <c r="B302" s="173"/>
      <c r="C302" s="174" t="s">
        <v>370</v>
      </c>
      <c r="D302" s="175"/>
      <c r="E302" s="176">
        <v>1.0780000000000001</v>
      </c>
      <c r="F302" s="196"/>
      <c r="G302" s="169"/>
      <c r="H302" s="169"/>
      <c r="I302" s="169"/>
      <c r="J302" s="169"/>
      <c r="K302" s="169"/>
      <c r="L302" s="169"/>
      <c r="M302" s="169"/>
      <c r="N302" s="170"/>
      <c r="O302" s="170"/>
      <c r="P302" s="170"/>
      <c r="Q302" s="170"/>
      <c r="R302" s="169"/>
      <c r="S302" s="169"/>
      <c r="T302" s="169"/>
      <c r="U302" s="169"/>
      <c r="V302" s="169"/>
      <c r="W302" s="169"/>
      <c r="X302" s="169"/>
      <c r="Y302" s="169"/>
      <c r="Z302" s="171"/>
      <c r="AA302" s="171"/>
      <c r="AB302" s="171"/>
      <c r="AC302" s="171"/>
      <c r="AD302" s="171"/>
      <c r="AE302" s="171"/>
      <c r="AF302" s="171"/>
      <c r="AG302" s="171" t="s">
        <v>148</v>
      </c>
      <c r="AH302" s="171">
        <v>0</v>
      </c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  <c r="BE302" s="171"/>
      <c r="BF302" s="171"/>
      <c r="BG302" s="171"/>
      <c r="BH302" s="171"/>
    </row>
    <row r="303" spans="1:60" outlineLevel="3" x14ac:dyDescent="0.2">
      <c r="A303" s="172"/>
      <c r="B303" s="173"/>
      <c r="C303" s="174" t="s">
        <v>151</v>
      </c>
      <c r="D303" s="175"/>
      <c r="E303" s="176"/>
      <c r="F303" s="196"/>
      <c r="G303" s="169"/>
      <c r="H303" s="169"/>
      <c r="I303" s="169"/>
      <c r="J303" s="169"/>
      <c r="K303" s="169"/>
      <c r="L303" s="169"/>
      <c r="M303" s="169"/>
      <c r="N303" s="170"/>
      <c r="O303" s="170"/>
      <c r="P303" s="170"/>
      <c r="Q303" s="170"/>
      <c r="R303" s="169"/>
      <c r="S303" s="169"/>
      <c r="T303" s="169"/>
      <c r="U303" s="169"/>
      <c r="V303" s="169"/>
      <c r="W303" s="169"/>
      <c r="X303" s="169"/>
      <c r="Y303" s="169"/>
      <c r="Z303" s="171"/>
      <c r="AA303" s="171"/>
      <c r="AB303" s="171"/>
      <c r="AC303" s="171"/>
      <c r="AD303" s="171"/>
      <c r="AE303" s="171"/>
      <c r="AF303" s="171"/>
      <c r="AG303" s="171" t="s">
        <v>148</v>
      </c>
      <c r="AH303" s="171">
        <v>0</v>
      </c>
      <c r="AI303" s="171"/>
      <c r="AJ303" s="171"/>
      <c r="AK303" s="171"/>
      <c r="AL303" s="171"/>
      <c r="AM303" s="171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1"/>
      <c r="AY303" s="171"/>
      <c r="AZ303" s="171"/>
      <c r="BA303" s="171"/>
      <c r="BB303" s="171"/>
      <c r="BC303" s="171"/>
      <c r="BD303" s="171"/>
      <c r="BE303" s="171"/>
      <c r="BF303" s="171"/>
      <c r="BG303" s="171"/>
      <c r="BH303" s="171"/>
    </row>
    <row r="304" spans="1:60" outlineLevel="3" x14ac:dyDescent="0.2">
      <c r="A304" s="172"/>
      <c r="B304" s="173"/>
      <c r="C304" s="174" t="s">
        <v>370</v>
      </c>
      <c r="D304" s="175"/>
      <c r="E304" s="176">
        <v>1.0780000000000001</v>
      </c>
      <c r="F304" s="196"/>
      <c r="G304" s="169"/>
      <c r="H304" s="169"/>
      <c r="I304" s="169"/>
      <c r="J304" s="169"/>
      <c r="K304" s="169"/>
      <c r="L304" s="169"/>
      <c r="M304" s="169"/>
      <c r="N304" s="170"/>
      <c r="O304" s="170"/>
      <c r="P304" s="170"/>
      <c r="Q304" s="170"/>
      <c r="R304" s="169"/>
      <c r="S304" s="169"/>
      <c r="T304" s="169"/>
      <c r="U304" s="169"/>
      <c r="V304" s="169"/>
      <c r="W304" s="169"/>
      <c r="X304" s="169"/>
      <c r="Y304" s="169"/>
      <c r="Z304" s="171"/>
      <c r="AA304" s="171"/>
      <c r="AB304" s="171"/>
      <c r="AC304" s="171"/>
      <c r="AD304" s="171"/>
      <c r="AE304" s="171"/>
      <c r="AF304" s="171"/>
      <c r="AG304" s="171" t="s">
        <v>148</v>
      </c>
      <c r="AH304" s="171">
        <v>0</v>
      </c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1"/>
      <c r="BG304" s="171"/>
      <c r="BH304" s="171"/>
    </row>
    <row r="305" spans="1:60" outlineLevel="3" x14ac:dyDescent="0.2">
      <c r="A305" s="172"/>
      <c r="B305" s="173"/>
      <c r="C305" s="174" t="s">
        <v>152</v>
      </c>
      <c r="D305" s="175"/>
      <c r="E305" s="176"/>
      <c r="F305" s="196"/>
      <c r="G305" s="169"/>
      <c r="H305" s="169"/>
      <c r="I305" s="169"/>
      <c r="J305" s="169"/>
      <c r="K305" s="169"/>
      <c r="L305" s="169"/>
      <c r="M305" s="169"/>
      <c r="N305" s="170"/>
      <c r="O305" s="170"/>
      <c r="P305" s="170"/>
      <c r="Q305" s="170"/>
      <c r="R305" s="169"/>
      <c r="S305" s="169"/>
      <c r="T305" s="169"/>
      <c r="U305" s="169"/>
      <c r="V305" s="169"/>
      <c r="W305" s="169"/>
      <c r="X305" s="169"/>
      <c r="Y305" s="169"/>
      <c r="Z305" s="171"/>
      <c r="AA305" s="171"/>
      <c r="AB305" s="171"/>
      <c r="AC305" s="171"/>
      <c r="AD305" s="171"/>
      <c r="AE305" s="171"/>
      <c r="AF305" s="171"/>
      <c r="AG305" s="171" t="s">
        <v>148</v>
      </c>
      <c r="AH305" s="171">
        <v>0</v>
      </c>
      <c r="AI305" s="171"/>
      <c r="AJ305" s="171"/>
      <c r="AK305" s="171"/>
      <c r="AL305" s="171"/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1"/>
      <c r="AY305" s="171"/>
      <c r="AZ305" s="171"/>
      <c r="BA305" s="171"/>
      <c r="BB305" s="171"/>
      <c r="BC305" s="171"/>
      <c r="BD305" s="171"/>
      <c r="BE305" s="171"/>
      <c r="BF305" s="171"/>
      <c r="BG305" s="171"/>
      <c r="BH305" s="171"/>
    </row>
    <row r="306" spans="1:60" outlineLevel="3" x14ac:dyDescent="0.2">
      <c r="A306" s="172"/>
      <c r="B306" s="173"/>
      <c r="C306" s="174" t="s">
        <v>371</v>
      </c>
      <c r="D306" s="175"/>
      <c r="E306" s="176">
        <v>1.1180000000000001</v>
      </c>
      <c r="F306" s="196"/>
      <c r="G306" s="169"/>
      <c r="H306" s="169"/>
      <c r="I306" s="169"/>
      <c r="J306" s="169"/>
      <c r="K306" s="169"/>
      <c r="L306" s="169"/>
      <c r="M306" s="169"/>
      <c r="N306" s="170"/>
      <c r="O306" s="170"/>
      <c r="P306" s="170"/>
      <c r="Q306" s="170"/>
      <c r="R306" s="169"/>
      <c r="S306" s="169"/>
      <c r="T306" s="169"/>
      <c r="U306" s="169"/>
      <c r="V306" s="169"/>
      <c r="W306" s="169"/>
      <c r="X306" s="169"/>
      <c r="Y306" s="169"/>
      <c r="Z306" s="171"/>
      <c r="AA306" s="171"/>
      <c r="AB306" s="171"/>
      <c r="AC306" s="171"/>
      <c r="AD306" s="171"/>
      <c r="AE306" s="171"/>
      <c r="AF306" s="171"/>
      <c r="AG306" s="171" t="s">
        <v>148</v>
      </c>
      <c r="AH306" s="171">
        <v>0</v>
      </c>
      <c r="AI306" s="171"/>
      <c r="AJ306" s="171"/>
      <c r="AK306" s="171"/>
      <c r="AL306" s="171"/>
      <c r="AM306" s="171"/>
      <c r="AN306" s="171"/>
      <c r="AO306" s="171"/>
      <c r="AP306" s="171"/>
      <c r="AQ306" s="171"/>
      <c r="AR306" s="171"/>
      <c r="AS306" s="171"/>
      <c r="AT306" s="171"/>
      <c r="AU306" s="171"/>
      <c r="AV306" s="171"/>
      <c r="AW306" s="171"/>
      <c r="AX306" s="171"/>
      <c r="AY306" s="171"/>
      <c r="AZ306" s="171"/>
      <c r="BA306" s="171"/>
      <c r="BB306" s="171"/>
      <c r="BC306" s="171"/>
      <c r="BD306" s="171"/>
      <c r="BE306" s="171"/>
      <c r="BF306" s="171"/>
      <c r="BG306" s="171"/>
      <c r="BH306" s="171"/>
    </row>
    <row r="307" spans="1:60" outlineLevel="3" x14ac:dyDescent="0.2">
      <c r="A307" s="172"/>
      <c r="B307" s="173"/>
      <c r="C307" s="174" t="s">
        <v>147</v>
      </c>
      <c r="D307" s="175"/>
      <c r="E307" s="176"/>
      <c r="F307" s="196"/>
      <c r="G307" s="169"/>
      <c r="H307" s="169"/>
      <c r="I307" s="169"/>
      <c r="J307" s="169"/>
      <c r="K307" s="169"/>
      <c r="L307" s="169"/>
      <c r="M307" s="169"/>
      <c r="N307" s="170"/>
      <c r="O307" s="170"/>
      <c r="P307" s="170"/>
      <c r="Q307" s="170"/>
      <c r="R307" s="169"/>
      <c r="S307" s="169"/>
      <c r="T307" s="169"/>
      <c r="U307" s="169"/>
      <c r="V307" s="169"/>
      <c r="W307" s="169"/>
      <c r="X307" s="169"/>
      <c r="Y307" s="169"/>
      <c r="Z307" s="171"/>
      <c r="AA307" s="171"/>
      <c r="AB307" s="171"/>
      <c r="AC307" s="171"/>
      <c r="AD307" s="171"/>
      <c r="AE307" s="171"/>
      <c r="AF307" s="171"/>
      <c r="AG307" s="171" t="s">
        <v>148</v>
      </c>
      <c r="AH307" s="171">
        <v>0</v>
      </c>
      <c r="AI307" s="171"/>
      <c r="AJ307" s="171"/>
      <c r="AK307" s="171"/>
      <c r="AL307" s="171"/>
      <c r="AM307" s="171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1"/>
      <c r="AX307" s="171"/>
      <c r="AY307" s="171"/>
      <c r="AZ307" s="171"/>
      <c r="BA307" s="171"/>
      <c r="BB307" s="171"/>
      <c r="BC307" s="171"/>
      <c r="BD307" s="171"/>
      <c r="BE307" s="171"/>
      <c r="BF307" s="171"/>
      <c r="BG307" s="171"/>
      <c r="BH307" s="171"/>
    </row>
    <row r="308" spans="1:60" outlineLevel="3" x14ac:dyDescent="0.2">
      <c r="A308" s="172"/>
      <c r="B308" s="173"/>
      <c r="C308" s="174" t="s">
        <v>149</v>
      </c>
      <c r="D308" s="175"/>
      <c r="E308" s="176"/>
      <c r="F308" s="196"/>
      <c r="G308" s="169"/>
      <c r="H308" s="169"/>
      <c r="I308" s="169"/>
      <c r="J308" s="169"/>
      <c r="K308" s="169"/>
      <c r="L308" s="169"/>
      <c r="M308" s="169"/>
      <c r="N308" s="170"/>
      <c r="O308" s="170"/>
      <c r="P308" s="170"/>
      <c r="Q308" s="170"/>
      <c r="R308" s="169"/>
      <c r="S308" s="169"/>
      <c r="T308" s="169"/>
      <c r="U308" s="169"/>
      <c r="V308" s="169"/>
      <c r="W308" s="169"/>
      <c r="X308" s="169"/>
      <c r="Y308" s="169"/>
      <c r="Z308" s="171"/>
      <c r="AA308" s="171"/>
      <c r="AB308" s="171"/>
      <c r="AC308" s="171"/>
      <c r="AD308" s="171"/>
      <c r="AE308" s="171"/>
      <c r="AF308" s="171"/>
      <c r="AG308" s="171" t="s">
        <v>148</v>
      </c>
      <c r="AH308" s="171">
        <v>0</v>
      </c>
      <c r="AI308" s="171"/>
      <c r="AJ308" s="171"/>
      <c r="AK308" s="171"/>
      <c r="AL308" s="171"/>
      <c r="AM308" s="171"/>
      <c r="AN308" s="171"/>
      <c r="AO308" s="171"/>
      <c r="AP308" s="171"/>
      <c r="AQ308" s="171"/>
      <c r="AR308" s="171"/>
      <c r="AS308" s="171"/>
      <c r="AT308" s="171"/>
      <c r="AU308" s="171"/>
      <c r="AV308" s="171"/>
      <c r="AW308" s="171"/>
      <c r="AX308" s="171"/>
      <c r="AY308" s="171"/>
      <c r="AZ308" s="171"/>
      <c r="BA308" s="171"/>
      <c r="BB308" s="171"/>
      <c r="BC308" s="171"/>
      <c r="BD308" s="171"/>
      <c r="BE308" s="171"/>
      <c r="BF308" s="171"/>
      <c r="BG308" s="171"/>
      <c r="BH308" s="171"/>
    </row>
    <row r="309" spans="1:60" outlineLevel="3" x14ac:dyDescent="0.2">
      <c r="A309" s="172"/>
      <c r="B309" s="173"/>
      <c r="C309" s="174" t="s">
        <v>372</v>
      </c>
      <c r="D309" s="175"/>
      <c r="E309" s="176">
        <v>3.2</v>
      </c>
      <c r="F309" s="196"/>
      <c r="G309" s="169"/>
      <c r="H309" s="169"/>
      <c r="I309" s="169"/>
      <c r="J309" s="169"/>
      <c r="K309" s="169"/>
      <c r="L309" s="169"/>
      <c r="M309" s="169"/>
      <c r="N309" s="170"/>
      <c r="O309" s="170"/>
      <c r="P309" s="170"/>
      <c r="Q309" s="170"/>
      <c r="R309" s="169"/>
      <c r="S309" s="169"/>
      <c r="T309" s="169"/>
      <c r="U309" s="169"/>
      <c r="V309" s="169"/>
      <c r="W309" s="169"/>
      <c r="X309" s="169"/>
      <c r="Y309" s="169"/>
      <c r="Z309" s="171"/>
      <c r="AA309" s="171"/>
      <c r="AB309" s="171"/>
      <c r="AC309" s="171"/>
      <c r="AD309" s="171"/>
      <c r="AE309" s="171"/>
      <c r="AF309" s="171"/>
      <c r="AG309" s="171" t="s">
        <v>148</v>
      </c>
      <c r="AH309" s="171">
        <v>0</v>
      </c>
      <c r="AI309" s="171"/>
      <c r="AJ309" s="171"/>
      <c r="AK309" s="171"/>
      <c r="AL309" s="171"/>
      <c r="AM309" s="171"/>
      <c r="AN309" s="171"/>
      <c r="AO309" s="171"/>
      <c r="AP309" s="171"/>
      <c r="AQ309" s="171"/>
      <c r="AR309" s="171"/>
      <c r="AS309" s="171"/>
      <c r="AT309" s="171"/>
      <c r="AU309" s="171"/>
      <c r="AV309" s="171"/>
      <c r="AW309" s="171"/>
      <c r="AX309" s="171"/>
      <c r="AY309" s="171"/>
      <c r="AZ309" s="171"/>
      <c r="BA309" s="171"/>
      <c r="BB309" s="171"/>
      <c r="BC309" s="171"/>
      <c r="BD309" s="171"/>
      <c r="BE309" s="171"/>
      <c r="BF309" s="171"/>
      <c r="BG309" s="171"/>
      <c r="BH309" s="171"/>
    </row>
    <row r="310" spans="1:60" outlineLevel="3" x14ac:dyDescent="0.2">
      <c r="A310" s="172"/>
      <c r="B310" s="173"/>
      <c r="C310" s="174" t="s">
        <v>151</v>
      </c>
      <c r="D310" s="175"/>
      <c r="E310" s="176"/>
      <c r="F310" s="196"/>
      <c r="G310" s="169"/>
      <c r="H310" s="169"/>
      <c r="I310" s="169"/>
      <c r="J310" s="169"/>
      <c r="K310" s="169"/>
      <c r="L310" s="169"/>
      <c r="M310" s="169"/>
      <c r="N310" s="170"/>
      <c r="O310" s="170"/>
      <c r="P310" s="170"/>
      <c r="Q310" s="170"/>
      <c r="R310" s="169"/>
      <c r="S310" s="169"/>
      <c r="T310" s="169"/>
      <c r="U310" s="169"/>
      <c r="V310" s="169"/>
      <c r="W310" s="169"/>
      <c r="X310" s="169"/>
      <c r="Y310" s="169"/>
      <c r="Z310" s="171"/>
      <c r="AA310" s="171"/>
      <c r="AB310" s="171"/>
      <c r="AC310" s="171"/>
      <c r="AD310" s="171"/>
      <c r="AE310" s="171"/>
      <c r="AF310" s="171"/>
      <c r="AG310" s="171" t="s">
        <v>148</v>
      </c>
      <c r="AH310" s="171">
        <v>0</v>
      </c>
      <c r="AI310" s="171"/>
      <c r="AJ310" s="171"/>
      <c r="AK310" s="171"/>
      <c r="AL310" s="171"/>
      <c r="AM310" s="171"/>
      <c r="AN310" s="171"/>
      <c r="AO310" s="171"/>
      <c r="AP310" s="171"/>
      <c r="AQ310" s="171"/>
      <c r="AR310" s="171"/>
      <c r="AS310" s="171"/>
      <c r="AT310" s="171"/>
      <c r="AU310" s="171"/>
      <c r="AV310" s="171"/>
      <c r="AW310" s="171"/>
      <c r="AX310" s="171"/>
      <c r="AY310" s="171"/>
      <c r="AZ310" s="171"/>
      <c r="BA310" s="171"/>
      <c r="BB310" s="171"/>
      <c r="BC310" s="171"/>
      <c r="BD310" s="171"/>
      <c r="BE310" s="171"/>
      <c r="BF310" s="171"/>
      <c r="BG310" s="171"/>
      <c r="BH310" s="171"/>
    </row>
    <row r="311" spans="1:60" outlineLevel="3" x14ac:dyDescent="0.2">
      <c r="A311" s="172"/>
      <c r="B311" s="173"/>
      <c r="C311" s="174" t="s">
        <v>372</v>
      </c>
      <c r="D311" s="175"/>
      <c r="E311" s="176">
        <v>3.2</v>
      </c>
      <c r="F311" s="196"/>
      <c r="G311" s="169"/>
      <c r="H311" s="169"/>
      <c r="I311" s="169"/>
      <c r="J311" s="169"/>
      <c r="K311" s="169"/>
      <c r="L311" s="169"/>
      <c r="M311" s="169"/>
      <c r="N311" s="170"/>
      <c r="O311" s="170"/>
      <c r="P311" s="170"/>
      <c r="Q311" s="170"/>
      <c r="R311" s="169"/>
      <c r="S311" s="169"/>
      <c r="T311" s="169"/>
      <c r="U311" s="169"/>
      <c r="V311" s="169"/>
      <c r="W311" s="169"/>
      <c r="X311" s="169"/>
      <c r="Y311" s="169"/>
      <c r="Z311" s="171"/>
      <c r="AA311" s="171"/>
      <c r="AB311" s="171"/>
      <c r="AC311" s="171"/>
      <c r="AD311" s="171"/>
      <c r="AE311" s="171"/>
      <c r="AF311" s="171"/>
      <c r="AG311" s="171" t="s">
        <v>148</v>
      </c>
      <c r="AH311" s="171">
        <v>0</v>
      </c>
      <c r="AI311" s="171"/>
      <c r="AJ311" s="171"/>
      <c r="AK311" s="171"/>
      <c r="AL311" s="171"/>
      <c r="AM311" s="171"/>
      <c r="AN311" s="171"/>
      <c r="AO311" s="171"/>
      <c r="AP311" s="171"/>
      <c r="AQ311" s="171"/>
      <c r="AR311" s="171"/>
      <c r="AS311" s="171"/>
      <c r="AT311" s="171"/>
      <c r="AU311" s="171"/>
      <c r="AV311" s="171"/>
      <c r="AW311" s="171"/>
      <c r="AX311" s="171"/>
      <c r="AY311" s="171"/>
      <c r="AZ311" s="171"/>
      <c r="BA311" s="171"/>
      <c r="BB311" s="171"/>
      <c r="BC311" s="171"/>
      <c r="BD311" s="171"/>
      <c r="BE311" s="171"/>
      <c r="BF311" s="171"/>
      <c r="BG311" s="171"/>
      <c r="BH311" s="171"/>
    </row>
    <row r="312" spans="1:60" outlineLevel="3" x14ac:dyDescent="0.2">
      <c r="A312" s="172"/>
      <c r="B312" s="173"/>
      <c r="C312" s="174" t="s">
        <v>152</v>
      </c>
      <c r="D312" s="175"/>
      <c r="E312" s="176"/>
      <c r="F312" s="196"/>
      <c r="G312" s="169"/>
      <c r="H312" s="169"/>
      <c r="I312" s="169"/>
      <c r="J312" s="169"/>
      <c r="K312" s="169"/>
      <c r="L312" s="169"/>
      <c r="M312" s="169"/>
      <c r="N312" s="170"/>
      <c r="O312" s="170"/>
      <c r="P312" s="170"/>
      <c r="Q312" s="170"/>
      <c r="R312" s="169"/>
      <c r="S312" s="169"/>
      <c r="T312" s="169"/>
      <c r="U312" s="169"/>
      <c r="V312" s="169"/>
      <c r="W312" s="169"/>
      <c r="X312" s="169"/>
      <c r="Y312" s="169"/>
      <c r="Z312" s="171"/>
      <c r="AA312" s="171"/>
      <c r="AB312" s="171"/>
      <c r="AC312" s="171"/>
      <c r="AD312" s="171"/>
      <c r="AE312" s="171"/>
      <c r="AF312" s="171"/>
      <c r="AG312" s="171" t="s">
        <v>148</v>
      </c>
      <c r="AH312" s="171">
        <v>0</v>
      </c>
      <c r="AI312" s="171"/>
      <c r="AJ312" s="171"/>
      <c r="AK312" s="171"/>
      <c r="AL312" s="171"/>
      <c r="AM312" s="171"/>
      <c r="AN312" s="171"/>
      <c r="AO312" s="171"/>
      <c r="AP312" s="171"/>
      <c r="AQ312" s="171"/>
      <c r="AR312" s="171"/>
      <c r="AS312" s="171"/>
      <c r="AT312" s="171"/>
      <c r="AU312" s="171"/>
      <c r="AV312" s="171"/>
      <c r="AW312" s="171"/>
      <c r="AX312" s="171"/>
      <c r="AY312" s="171"/>
      <c r="AZ312" s="171"/>
      <c r="BA312" s="171"/>
      <c r="BB312" s="171"/>
      <c r="BC312" s="171"/>
      <c r="BD312" s="171"/>
      <c r="BE312" s="171"/>
      <c r="BF312" s="171"/>
      <c r="BG312" s="171"/>
      <c r="BH312" s="171"/>
    </row>
    <row r="313" spans="1:60" outlineLevel="3" x14ac:dyDescent="0.2">
      <c r="A313" s="172"/>
      <c r="B313" s="173"/>
      <c r="C313" s="174" t="s">
        <v>372</v>
      </c>
      <c r="D313" s="175"/>
      <c r="E313" s="176">
        <v>3.2</v>
      </c>
      <c r="F313" s="196"/>
      <c r="G313" s="169"/>
      <c r="H313" s="169"/>
      <c r="I313" s="169"/>
      <c r="J313" s="169"/>
      <c r="K313" s="169"/>
      <c r="L313" s="169"/>
      <c r="M313" s="169"/>
      <c r="N313" s="170"/>
      <c r="O313" s="170"/>
      <c r="P313" s="170"/>
      <c r="Q313" s="170"/>
      <c r="R313" s="169"/>
      <c r="S313" s="169"/>
      <c r="T313" s="169"/>
      <c r="U313" s="169"/>
      <c r="V313" s="169"/>
      <c r="W313" s="169"/>
      <c r="X313" s="169"/>
      <c r="Y313" s="169"/>
      <c r="Z313" s="171"/>
      <c r="AA313" s="171"/>
      <c r="AB313" s="171"/>
      <c r="AC313" s="171"/>
      <c r="AD313" s="171"/>
      <c r="AE313" s="171"/>
      <c r="AF313" s="171"/>
      <c r="AG313" s="171" t="s">
        <v>148</v>
      </c>
      <c r="AH313" s="171">
        <v>0</v>
      </c>
      <c r="AI313" s="171"/>
      <c r="AJ313" s="171"/>
      <c r="AK313" s="171"/>
      <c r="AL313" s="171"/>
      <c r="AM313" s="171"/>
      <c r="AN313" s="171"/>
      <c r="AO313" s="171"/>
      <c r="AP313" s="171"/>
      <c r="AQ313" s="171"/>
      <c r="AR313" s="171"/>
      <c r="AS313" s="171"/>
      <c r="AT313" s="171"/>
      <c r="AU313" s="171"/>
      <c r="AV313" s="171"/>
      <c r="AW313" s="171"/>
      <c r="AX313" s="171"/>
      <c r="AY313" s="171"/>
      <c r="AZ313" s="171"/>
      <c r="BA313" s="171"/>
      <c r="BB313" s="171"/>
      <c r="BC313" s="171"/>
      <c r="BD313" s="171"/>
      <c r="BE313" s="171"/>
      <c r="BF313" s="171"/>
      <c r="BG313" s="171"/>
      <c r="BH313" s="171"/>
    </row>
    <row r="314" spans="1:60" outlineLevel="1" x14ac:dyDescent="0.2">
      <c r="A314" s="162">
        <v>43</v>
      </c>
      <c r="B314" s="163" t="s">
        <v>373</v>
      </c>
      <c r="C314" s="164" t="s">
        <v>374</v>
      </c>
      <c r="D314" s="165" t="s">
        <v>375</v>
      </c>
      <c r="E314" s="166">
        <v>6.6</v>
      </c>
      <c r="F314" s="140"/>
      <c r="G314" s="167">
        <f>ROUND(E314*F314,2)</f>
        <v>0</v>
      </c>
      <c r="H314" s="168"/>
      <c r="I314" s="169">
        <f>ROUND(E314*H314,2)</f>
        <v>0</v>
      </c>
      <c r="J314" s="168"/>
      <c r="K314" s="169">
        <f>ROUND(E314*J314,2)</f>
        <v>0</v>
      </c>
      <c r="L314" s="169">
        <v>21</v>
      </c>
      <c r="M314" s="169">
        <f>G314*(1+L314/100)</f>
        <v>0</v>
      </c>
      <c r="N314" s="170">
        <v>0</v>
      </c>
      <c r="O314" s="170">
        <f>ROUND(E314*N314,2)</f>
        <v>0</v>
      </c>
      <c r="P314" s="170">
        <v>4.2000000000000003E-2</v>
      </c>
      <c r="Q314" s="170">
        <f>ROUND(E314*P314,2)</f>
        <v>0.28000000000000003</v>
      </c>
      <c r="R314" s="169"/>
      <c r="S314" s="169" t="s">
        <v>143</v>
      </c>
      <c r="T314" s="169" t="s">
        <v>143</v>
      </c>
      <c r="U314" s="169">
        <v>0.71499999999999997</v>
      </c>
      <c r="V314" s="169">
        <f>ROUND(E314*U314,2)</f>
        <v>4.72</v>
      </c>
      <c r="W314" s="169"/>
      <c r="X314" s="169" t="s">
        <v>144</v>
      </c>
      <c r="Y314" s="169" t="s">
        <v>145</v>
      </c>
      <c r="Z314" s="171"/>
      <c r="AA314" s="171"/>
      <c r="AB314" s="171"/>
      <c r="AC314" s="171"/>
      <c r="AD314" s="171"/>
      <c r="AE314" s="171"/>
      <c r="AF314" s="171"/>
      <c r="AG314" s="171" t="s">
        <v>146</v>
      </c>
      <c r="AH314" s="171"/>
      <c r="AI314" s="171"/>
      <c r="AJ314" s="171"/>
      <c r="AK314" s="171"/>
      <c r="AL314" s="171"/>
      <c r="AM314" s="171"/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  <c r="BE314" s="171"/>
      <c r="BF314" s="171"/>
      <c r="BG314" s="171"/>
      <c r="BH314" s="171"/>
    </row>
    <row r="315" spans="1:60" outlineLevel="2" x14ac:dyDescent="0.2">
      <c r="A315" s="172"/>
      <c r="B315" s="173"/>
      <c r="C315" s="174" t="s">
        <v>147</v>
      </c>
      <c r="D315" s="175"/>
      <c r="E315" s="176"/>
      <c r="F315" s="196"/>
      <c r="G315" s="169"/>
      <c r="H315" s="169"/>
      <c r="I315" s="169"/>
      <c r="J315" s="169"/>
      <c r="K315" s="169"/>
      <c r="L315" s="169"/>
      <c r="M315" s="169"/>
      <c r="N315" s="170"/>
      <c r="O315" s="170"/>
      <c r="P315" s="170"/>
      <c r="Q315" s="170"/>
      <c r="R315" s="169"/>
      <c r="S315" s="169"/>
      <c r="T315" s="169"/>
      <c r="U315" s="169"/>
      <c r="V315" s="169"/>
      <c r="W315" s="169"/>
      <c r="X315" s="169"/>
      <c r="Y315" s="169"/>
      <c r="Z315" s="171"/>
      <c r="AA315" s="171"/>
      <c r="AB315" s="171"/>
      <c r="AC315" s="171"/>
      <c r="AD315" s="171"/>
      <c r="AE315" s="171"/>
      <c r="AF315" s="171"/>
      <c r="AG315" s="171" t="s">
        <v>148</v>
      </c>
      <c r="AH315" s="171">
        <v>0</v>
      </c>
      <c r="AI315" s="171"/>
      <c r="AJ315" s="171"/>
      <c r="AK315" s="171"/>
      <c r="AL315" s="171"/>
      <c r="AM315" s="171"/>
      <c r="AN315" s="171"/>
      <c r="AO315" s="171"/>
      <c r="AP315" s="171"/>
      <c r="AQ315" s="171"/>
      <c r="AR315" s="171"/>
      <c r="AS315" s="171"/>
      <c r="AT315" s="171"/>
      <c r="AU315" s="171"/>
      <c r="AV315" s="171"/>
      <c r="AW315" s="171"/>
      <c r="AX315" s="171"/>
      <c r="AY315" s="171"/>
      <c r="AZ315" s="171"/>
      <c r="BA315" s="171"/>
      <c r="BB315" s="171"/>
      <c r="BC315" s="171"/>
      <c r="BD315" s="171"/>
      <c r="BE315" s="171"/>
      <c r="BF315" s="171"/>
      <c r="BG315" s="171"/>
      <c r="BH315" s="171"/>
    </row>
    <row r="316" spans="1:60" outlineLevel="3" x14ac:dyDescent="0.2">
      <c r="A316" s="172"/>
      <c r="B316" s="173"/>
      <c r="C316" s="174" t="s">
        <v>149</v>
      </c>
      <c r="D316" s="175"/>
      <c r="E316" s="176"/>
      <c r="F316" s="196"/>
      <c r="G316" s="169"/>
      <c r="H316" s="169"/>
      <c r="I316" s="169"/>
      <c r="J316" s="169"/>
      <c r="K316" s="169"/>
      <c r="L316" s="169"/>
      <c r="M316" s="169"/>
      <c r="N316" s="170"/>
      <c r="O316" s="170"/>
      <c r="P316" s="170"/>
      <c r="Q316" s="170"/>
      <c r="R316" s="169"/>
      <c r="S316" s="169"/>
      <c r="T316" s="169"/>
      <c r="U316" s="169"/>
      <c r="V316" s="169"/>
      <c r="W316" s="169"/>
      <c r="X316" s="169"/>
      <c r="Y316" s="169"/>
      <c r="Z316" s="171"/>
      <c r="AA316" s="171"/>
      <c r="AB316" s="171"/>
      <c r="AC316" s="171"/>
      <c r="AD316" s="171"/>
      <c r="AE316" s="171"/>
      <c r="AF316" s="171"/>
      <c r="AG316" s="171" t="s">
        <v>148</v>
      </c>
      <c r="AH316" s="171">
        <v>0</v>
      </c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1"/>
      <c r="BA316" s="171"/>
      <c r="BB316" s="171"/>
      <c r="BC316" s="171"/>
      <c r="BD316" s="171"/>
      <c r="BE316" s="171"/>
      <c r="BF316" s="171"/>
      <c r="BG316" s="171"/>
      <c r="BH316" s="171"/>
    </row>
    <row r="317" spans="1:60" outlineLevel="3" x14ac:dyDescent="0.2">
      <c r="A317" s="172"/>
      <c r="B317" s="173"/>
      <c r="C317" s="174" t="s">
        <v>376</v>
      </c>
      <c r="D317" s="175"/>
      <c r="E317" s="176">
        <v>2.2000000000000002</v>
      </c>
      <c r="F317" s="196"/>
      <c r="G317" s="169"/>
      <c r="H317" s="169"/>
      <c r="I317" s="169"/>
      <c r="J317" s="169"/>
      <c r="K317" s="169"/>
      <c r="L317" s="169"/>
      <c r="M317" s="169"/>
      <c r="N317" s="170"/>
      <c r="O317" s="170"/>
      <c r="P317" s="170"/>
      <c r="Q317" s="170"/>
      <c r="R317" s="169"/>
      <c r="S317" s="169"/>
      <c r="T317" s="169"/>
      <c r="U317" s="169"/>
      <c r="V317" s="169"/>
      <c r="W317" s="169"/>
      <c r="X317" s="169"/>
      <c r="Y317" s="169"/>
      <c r="Z317" s="171"/>
      <c r="AA317" s="171"/>
      <c r="AB317" s="171"/>
      <c r="AC317" s="171"/>
      <c r="AD317" s="171"/>
      <c r="AE317" s="171"/>
      <c r="AF317" s="171"/>
      <c r="AG317" s="171" t="s">
        <v>148</v>
      </c>
      <c r="AH317" s="171">
        <v>0</v>
      </c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1"/>
      <c r="AY317" s="171"/>
      <c r="AZ317" s="171"/>
      <c r="BA317" s="171"/>
      <c r="BB317" s="171"/>
      <c r="BC317" s="171"/>
      <c r="BD317" s="171"/>
      <c r="BE317" s="171"/>
      <c r="BF317" s="171"/>
      <c r="BG317" s="171"/>
      <c r="BH317" s="171"/>
    </row>
    <row r="318" spans="1:60" outlineLevel="3" x14ac:dyDescent="0.2">
      <c r="A318" s="172"/>
      <c r="B318" s="173"/>
      <c r="C318" s="174" t="s">
        <v>151</v>
      </c>
      <c r="D318" s="175"/>
      <c r="E318" s="176"/>
      <c r="F318" s="196"/>
      <c r="G318" s="169"/>
      <c r="H318" s="169"/>
      <c r="I318" s="169"/>
      <c r="J318" s="169"/>
      <c r="K318" s="169"/>
      <c r="L318" s="169"/>
      <c r="M318" s="169"/>
      <c r="N318" s="170"/>
      <c r="O318" s="170"/>
      <c r="P318" s="170"/>
      <c r="Q318" s="170"/>
      <c r="R318" s="169"/>
      <c r="S318" s="169"/>
      <c r="T318" s="169"/>
      <c r="U318" s="169"/>
      <c r="V318" s="169"/>
      <c r="W318" s="169"/>
      <c r="X318" s="169"/>
      <c r="Y318" s="169"/>
      <c r="Z318" s="171"/>
      <c r="AA318" s="171"/>
      <c r="AB318" s="171"/>
      <c r="AC318" s="171"/>
      <c r="AD318" s="171"/>
      <c r="AE318" s="171"/>
      <c r="AF318" s="171"/>
      <c r="AG318" s="171" t="s">
        <v>148</v>
      </c>
      <c r="AH318" s="171">
        <v>0</v>
      </c>
      <c r="AI318" s="171"/>
      <c r="AJ318" s="171"/>
      <c r="AK318" s="171"/>
      <c r="AL318" s="171"/>
      <c r="AM318" s="171"/>
      <c r="AN318" s="171"/>
      <c r="AO318" s="171"/>
      <c r="AP318" s="171"/>
      <c r="AQ318" s="171"/>
      <c r="AR318" s="171"/>
      <c r="AS318" s="171"/>
      <c r="AT318" s="171"/>
      <c r="AU318" s="171"/>
      <c r="AV318" s="171"/>
      <c r="AW318" s="171"/>
      <c r="AX318" s="171"/>
      <c r="AY318" s="171"/>
      <c r="AZ318" s="171"/>
      <c r="BA318" s="171"/>
      <c r="BB318" s="171"/>
      <c r="BC318" s="171"/>
      <c r="BD318" s="171"/>
      <c r="BE318" s="171"/>
      <c r="BF318" s="171"/>
      <c r="BG318" s="171"/>
      <c r="BH318" s="171"/>
    </row>
    <row r="319" spans="1:60" outlineLevel="3" x14ac:dyDescent="0.2">
      <c r="A319" s="172"/>
      <c r="B319" s="173"/>
      <c r="C319" s="174" t="s">
        <v>376</v>
      </c>
      <c r="D319" s="175"/>
      <c r="E319" s="176">
        <v>2.2000000000000002</v>
      </c>
      <c r="F319" s="196"/>
      <c r="G319" s="169"/>
      <c r="H319" s="169"/>
      <c r="I319" s="169"/>
      <c r="J319" s="169"/>
      <c r="K319" s="169"/>
      <c r="L319" s="169"/>
      <c r="M319" s="169"/>
      <c r="N319" s="170"/>
      <c r="O319" s="170"/>
      <c r="P319" s="170"/>
      <c r="Q319" s="170"/>
      <c r="R319" s="169"/>
      <c r="S319" s="169"/>
      <c r="T319" s="169"/>
      <c r="U319" s="169"/>
      <c r="V319" s="169"/>
      <c r="W319" s="169"/>
      <c r="X319" s="169"/>
      <c r="Y319" s="169"/>
      <c r="Z319" s="171"/>
      <c r="AA319" s="171"/>
      <c r="AB319" s="171"/>
      <c r="AC319" s="171"/>
      <c r="AD319" s="171"/>
      <c r="AE319" s="171"/>
      <c r="AF319" s="171"/>
      <c r="AG319" s="171" t="s">
        <v>148</v>
      </c>
      <c r="AH319" s="171">
        <v>0</v>
      </c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</row>
    <row r="320" spans="1:60" outlineLevel="3" x14ac:dyDescent="0.2">
      <c r="A320" s="172"/>
      <c r="B320" s="173"/>
      <c r="C320" s="174" t="s">
        <v>152</v>
      </c>
      <c r="D320" s="175"/>
      <c r="E320" s="176"/>
      <c r="F320" s="196"/>
      <c r="G320" s="169"/>
      <c r="H320" s="169"/>
      <c r="I320" s="169"/>
      <c r="J320" s="169"/>
      <c r="K320" s="169"/>
      <c r="L320" s="169"/>
      <c r="M320" s="169"/>
      <c r="N320" s="170"/>
      <c r="O320" s="170"/>
      <c r="P320" s="170"/>
      <c r="Q320" s="170"/>
      <c r="R320" s="169"/>
      <c r="S320" s="169"/>
      <c r="T320" s="169"/>
      <c r="U320" s="169"/>
      <c r="V320" s="169"/>
      <c r="W320" s="169"/>
      <c r="X320" s="169"/>
      <c r="Y320" s="169"/>
      <c r="Z320" s="171"/>
      <c r="AA320" s="171"/>
      <c r="AB320" s="171"/>
      <c r="AC320" s="171"/>
      <c r="AD320" s="171"/>
      <c r="AE320" s="171"/>
      <c r="AF320" s="171"/>
      <c r="AG320" s="171" t="s">
        <v>148</v>
      </c>
      <c r="AH320" s="171">
        <v>0</v>
      </c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  <c r="BE320" s="171"/>
      <c r="BF320" s="171"/>
      <c r="BG320" s="171"/>
      <c r="BH320" s="171"/>
    </row>
    <row r="321" spans="1:60" outlineLevel="3" x14ac:dyDescent="0.2">
      <c r="A321" s="172"/>
      <c r="B321" s="173"/>
      <c r="C321" s="174" t="s">
        <v>376</v>
      </c>
      <c r="D321" s="175"/>
      <c r="E321" s="176">
        <v>2.2000000000000002</v>
      </c>
      <c r="F321" s="196"/>
      <c r="G321" s="169"/>
      <c r="H321" s="169"/>
      <c r="I321" s="169"/>
      <c r="J321" s="169"/>
      <c r="K321" s="169"/>
      <c r="L321" s="169"/>
      <c r="M321" s="169"/>
      <c r="N321" s="170"/>
      <c r="O321" s="170"/>
      <c r="P321" s="170"/>
      <c r="Q321" s="170"/>
      <c r="R321" s="169"/>
      <c r="S321" s="169"/>
      <c r="T321" s="169"/>
      <c r="U321" s="169"/>
      <c r="V321" s="169"/>
      <c r="W321" s="169"/>
      <c r="X321" s="169"/>
      <c r="Y321" s="169"/>
      <c r="Z321" s="171"/>
      <c r="AA321" s="171"/>
      <c r="AB321" s="171"/>
      <c r="AC321" s="171"/>
      <c r="AD321" s="171"/>
      <c r="AE321" s="171"/>
      <c r="AF321" s="171"/>
      <c r="AG321" s="171" t="s">
        <v>148</v>
      </c>
      <c r="AH321" s="171">
        <v>0</v>
      </c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</row>
    <row r="322" spans="1:60" outlineLevel="1" x14ac:dyDescent="0.2">
      <c r="A322" s="162">
        <v>44</v>
      </c>
      <c r="B322" s="163" t="s">
        <v>377</v>
      </c>
      <c r="C322" s="164" t="s">
        <v>378</v>
      </c>
      <c r="D322" s="165" t="s">
        <v>159</v>
      </c>
      <c r="E322" s="166">
        <v>135.63999999999999</v>
      </c>
      <c r="F322" s="140"/>
      <c r="G322" s="167">
        <f>ROUND(E322*F322,2)</f>
        <v>0</v>
      </c>
      <c r="H322" s="168"/>
      <c r="I322" s="169">
        <f>ROUND(E322*H322,2)</f>
        <v>0</v>
      </c>
      <c r="J322" s="168"/>
      <c r="K322" s="169">
        <f>ROUND(E322*J322,2)</f>
        <v>0</v>
      </c>
      <c r="L322" s="169">
        <v>21</v>
      </c>
      <c r="M322" s="169">
        <f>G322*(1+L322/100)</f>
        <v>0</v>
      </c>
      <c r="N322" s="170">
        <v>0</v>
      </c>
      <c r="O322" s="170">
        <f>ROUND(E322*N322,2)</f>
        <v>0</v>
      </c>
      <c r="P322" s="170">
        <v>0.01</v>
      </c>
      <c r="Q322" s="170">
        <f>ROUND(E322*P322,2)</f>
        <v>1.36</v>
      </c>
      <c r="R322" s="169"/>
      <c r="S322" s="169" t="s">
        <v>143</v>
      </c>
      <c r="T322" s="169" t="s">
        <v>143</v>
      </c>
      <c r="U322" s="169">
        <v>0.1</v>
      </c>
      <c r="V322" s="169">
        <f>ROUND(E322*U322,2)</f>
        <v>13.56</v>
      </c>
      <c r="W322" s="169"/>
      <c r="X322" s="169" t="s">
        <v>144</v>
      </c>
      <c r="Y322" s="169" t="s">
        <v>145</v>
      </c>
      <c r="Z322" s="171"/>
      <c r="AA322" s="171"/>
      <c r="AB322" s="171"/>
      <c r="AC322" s="171"/>
      <c r="AD322" s="171"/>
      <c r="AE322" s="171"/>
      <c r="AF322" s="171"/>
      <c r="AG322" s="171" t="s">
        <v>146</v>
      </c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  <c r="BE322" s="171"/>
      <c r="BF322" s="171"/>
      <c r="BG322" s="171"/>
      <c r="BH322" s="171"/>
    </row>
    <row r="323" spans="1:60" outlineLevel="2" x14ac:dyDescent="0.2">
      <c r="A323" s="172"/>
      <c r="B323" s="173"/>
      <c r="C323" s="174" t="s">
        <v>347</v>
      </c>
      <c r="D323" s="175"/>
      <c r="E323" s="176"/>
      <c r="F323" s="196"/>
      <c r="G323" s="169"/>
      <c r="H323" s="169"/>
      <c r="I323" s="169"/>
      <c r="J323" s="169"/>
      <c r="K323" s="169"/>
      <c r="L323" s="169"/>
      <c r="M323" s="169"/>
      <c r="N323" s="170"/>
      <c r="O323" s="170"/>
      <c r="P323" s="170"/>
      <c r="Q323" s="170"/>
      <c r="R323" s="169"/>
      <c r="S323" s="169"/>
      <c r="T323" s="169"/>
      <c r="U323" s="169"/>
      <c r="V323" s="169"/>
      <c r="W323" s="169"/>
      <c r="X323" s="169"/>
      <c r="Y323" s="169"/>
      <c r="Z323" s="171"/>
      <c r="AA323" s="171"/>
      <c r="AB323" s="171"/>
      <c r="AC323" s="171"/>
      <c r="AD323" s="171"/>
      <c r="AE323" s="171"/>
      <c r="AF323" s="171"/>
      <c r="AG323" s="171" t="s">
        <v>148</v>
      </c>
      <c r="AH323" s="171">
        <v>0</v>
      </c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1"/>
      <c r="AY323" s="171"/>
      <c r="AZ323" s="171"/>
      <c r="BA323" s="171"/>
      <c r="BB323" s="171"/>
      <c r="BC323" s="171"/>
      <c r="BD323" s="171"/>
      <c r="BE323" s="171"/>
      <c r="BF323" s="171"/>
      <c r="BG323" s="171"/>
      <c r="BH323" s="171"/>
    </row>
    <row r="324" spans="1:60" outlineLevel="3" x14ac:dyDescent="0.2">
      <c r="A324" s="172"/>
      <c r="B324" s="173"/>
      <c r="C324" s="174" t="s">
        <v>149</v>
      </c>
      <c r="D324" s="175"/>
      <c r="E324" s="176"/>
      <c r="F324" s="196"/>
      <c r="G324" s="169"/>
      <c r="H324" s="169"/>
      <c r="I324" s="169"/>
      <c r="J324" s="169"/>
      <c r="K324" s="169"/>
      <c r="L324" s="169"/>
      <c r="M324" s="169"/>
      <c r="N324" s="170"/>
      <c r="O324" s="170"/>
      <c r="P324" s="170"/>
      <c r="Q324" s="170"/>
      <c r="R324" s="169"/>
      <c r="S324" s="169"/>
      <c r="T324" s="169"/>
      <c r="U324" s="169"/>
      <c r="V324" s="169"/>
      <c r="W324" s="169"/>
      <c r="X324" s="169"/>
      <c r="Y324" s="169"/>
      <c r="Z324" s="171"/>
      <c r="AA324" s="171"/>
      <c r="AB324" s="171"/>
      <c r="AC324" s="171"/>
      <c r="AD324" s="171"/>
      <c r="AE324" s="171"/>
      <c r="AF324" s="171"/>
      <c r="AG324" s="171" t="s">
        <v>148</v>
      </c>
      <c r="AH324" s="171">
        <v>0</v>
      </c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  <c r="BE324" s="171"/>
      <c r="BF324" s="171"/>
      <c r="BG324" s="171"/>
      <c r="BH324" s="171"/>
    </row>
    <row r="325" spans="1:60" outlineLevel="3" x14ac:dyDescent="0.2">
      <c r="A325" s="172"/>
      <c r="B325" s="173"/>
      <c r="C325" s="174" t="s">
        <v>379</v>
      </c>
      <c r="D325" s="175"/>
      <c r="E325" s="176">
        <v>45.43</v>
      </c>
      <c r="F325" s="196"/>
      <c r="G325" s="169"/>
      <c r="H325" s="169"/>
      <c r="I325" s="169"/>
      <c r="J325" s="169"/>
      <c r="K325" s="169"/>
      <c r="L325" s="169"/>
      <c r="M325" s="169"/>
      <c r="N325" s="170"/>
      <c r="O325" s="170"/>
      <c r="P325" s="170"/>
      <c r="Q325" s="170"/>
      <c r="R325" s="169"/>
      <c r="S325" s="169"/>
      <c r="T325" s="169"/>
      <c r="U325" s="169"/>
      <c r="V325" s="169"/>
      <c r="W325" s="169"/>
      <c r="X325" s="169"/>
      <c r="Y325" s="169"/>
      <c r="Z325" s="171"/>
      <c r="AA325" s="171"/>
      <c r="AB325" s="171"/>
      <c r="AC325" s="171"/>
      <c r="AD325" s="171"/>
      <c r="AE325" s="171"/>
      <c r="AF325" s="171"/>
      <c r="AG325" s="171" t="s">
        <v>148</v>
      </c>
      <c r="AH325" s="171">
        <v>0</v>
      </c>
      <c r="AI325" s="171"/>
      <c r="AJ325" s="171"/>
      <c r="AK325" s="171"/>
      <c r="AL325" s="171"/>
      <c r="AM325" s="171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</row>
    <row r="326" spans="1:60" outlineLevel="3" x14ac:dyDescent="0.2">
      <c r="A326" s="172"/>
      <c r="B326" s="173"/>
      <c r="C326" s="174" t="s">
        <v>151</v>
      </c>
      <c r="D326" s="175"/>
      <c r="E326" s="176"/>
      <c r="F326" s="196"/>
      <c r="G326" s="169"/>
      <c r="H326" s="169"/>
      <c r="I326" s="169"/>
      <c r="J326" s="169"/>
      <c r="K326" s="169"/>
      <c r="L326" s="169"/>
      <c r="M326" s="169"/>
      <c r="N326" s="170"/>
      <c r="O326" s="170"/>
      <c r="P326" s="170"/>
      <c r="Q326" s="170"/>
      <c r="R326" s="169"/>
      <c r="S326" s="169"/>
      <c r="T326" s="169"/>
      <c r="U326" s="169"/>
      <c r="V326" s="169"/>
      <c r="W326" s="169"/>
      <c r="X326" s="169"/>
      <c r="Y326" s="169"/>
      <c r="Z326" s="171"/>
      <c r="AA326" s="171"/>
      <c r="AB326" s="171"/>
      <c r="AC326" s="171"/>
      <c r="AD326" s="171"/>
      <c r="AE326" s="171"/>
      <c r="AF326" s="171"/>
      <c r="AG326" s="171" t="s">
        <v>148</v>
      </c>
      <c r="AH326" s="171">
        <v>0</v>
      </c>
      <c r="AI326" s="171"/>
      <c r="AJ326" s="171"/>
      <c r="AK326" s="171"/>
      <c r="AL326" s="171"/>
      <c r="AM326" s="171"/>
      <c r="AN326" s="171"/>
      <c r="AO326" s="171"/>
      <c r="AP326" s="171"/>
      <c r="AQ326" s="171"/>
      <c r="AR326" s="171"/>
      <c r="AS326" s="171"/>
      <c r="AT326" s="171"/>
      <c r="AU326" s="171"/>
      <c r="AV326" s="171"/>
      <c r="AW326" s="171"/>
      <c r="AX326" s="171"/>
      <c r="AY326" s="171"/>
      <c r="AZ326" s="171"/>
      <c r="BA326" s="171"/>
      <c r="BB326" s="171"/>
      <c r="BC326" s="171"/>
      <c r="BD326" s="171"/>
      <c r="BE326" s="171"/>
      <c r="BF326" s="171"/>
      <c r="BG326" s="171"/>
      <c r="BH326" s="171"/>
    </row>
    <row r="327" spans="1:60" outlineLevel="3" x14ac:dyDescent="0.2">
      <c r="A327" s="172"/>
      <c r="B327" s="173"/>
      <c r="C327" s="174" t="s">
        <v>380</v>
      </c>
      <c r="D327" s="175"/>
      <c r="E327" s="176">
        <v>45.27</v>
      </c>
      <c r="F327" s="196"/>
      <c r="G327" s="169"/>
      <c r="H327" s="169"/>
      <c r="I327" s="169"/>
      <c r="J327" s="169"/>
      <c r="K327" s="169"/>
      <c r="L327" s="169"/>
      <c r="M327" s="169"/>
      <c r="N327" s="170"/>
      <c r="O327" s="170"/>
      <c r="P327" s="170"/>
      <c r="Q327" s="170"/>
      <c r="R327" s="169"/>
      <c r="S327" s="169"/>
      <c r="T327" s="169"/>
      <c r="U327" s="169"/>
      <c r="V327" s="169"/>
      <c r="W327" s="169"/>
      <c r="X327" s="169"/>
      <c r="Y327" s="169"/>
      <c r="Z327" s="171"/>
      <c r="AA327" s="171"/>
      <c r="AB327" s="171"/>
      <c r="AC327" s="171"/>
      <c r="AD327" s="171"/>
      <c r="AE327" s="171"/>
      <c r="AF327" s="171"/>
      <c r="AG327" s="171" t="s">
        <v>148</v>
      </c>
      <c r="AH327" s="171">
        <v>0</v>
      </c>
      <c r="AI327" s="171"/>
      <c r="AJ327" s="171"/>
      <c r="AK327" s="171"/>
      <c r="AL327" s="171"/>
      <c r="AM327" s="171"/>
      <c r="AN327" s="171"/>
      <c r="AO327" s="171"/>
      <c r="AP327" s="171"/>
      <c r="AQ327" s="171"/>
      <c r="AR327" s="171"/>
      <c r="AS327" s="171"/>
      <c r="AT327" s="171"/>
      <c r="AU327" s="171"/>
      <c r="AV327" s="171"/>
      <c r="AW327" s="171"/>
      <c r="AX327" s="171"/>
      <c r="AY327" s="171"/>
      <c r="AZ327" s="171"/>
      <c r="BA327" s="171"/>
      <c r="BB327" s="171"/>
      <c r="BC327" s="171"/>
      <c r="BD327" s="171"/>
      <c r="BE327" s="171"/>
      <c r="BF327" s="171"/>
      <c r="BG327" s="171"/>
      <c r="BH327" s="171"/>
    </row>
    <row r="328" spans="1:60" outlineLevel="3" x14ac:dyDescent="0.2">
      <c r="A328" s="172"/>
      <c r="B328" s="173"/>
      <c r="C328" s="174" t="s">
        <v>152</v>
      </c>
      <c r="D328" s="175"/>
      <c r="E328" s="176"/>
      <c r="F328" s="196"/>
      <c r="G328" s="169"/>
      <c r="H328" s="169"/>
      <c r="I328" s="169"/>
      <c r="J328" s="169"/>
      <c r="K328" s="169"/>
      <c r="L328" s="169"/>
      <c r="M328" s="169"/>
      <c r="N328" s="170"/>
      <c r="O328" s="170"/>
      <c r="P328" s="170"/>
      <c r="Q328" s="170"/>
      <c r="R328" s="169"/>
      <c r="S328" s="169"/>
      <c r="T328" s="169"/>
      <c r="U328" s="169"/>
      <c r="V328" s="169"/>
      <c r="W328" s="169"/>
      <c r="X328" s="169"/>
      <c r="Y328" s="169"/>
      <c r="Z328" s="171"/>
      <c r="AA328" s="171"/>
      <c r="AB328" s="171"/>
      <c r="AC328" s="171"/>
      <c r="AD328" s="171"/>
      <c r="AE328" s="171"/>
      <c r="AF328" s="171"/>
      <c r="AG328" s="171" t="s">
        <v>148</v>
      </c>
      <c r="AH328" s="171">
        <v>0</v>
      </c>
      <c r="AI328" s="171"/>
      <c r="AJ328" s="171"/>
      <c r="AK328" s="171"/>
      <c r="AL328" s="171"/>
      <c r="AM328" s="171"/>
      <c r="AN328" s="171"/>
      <c r="AO328" s="171"/>
      <c r="AP328" s="171"/>
      <c r="AQ328" s="171"/>
      <c r="AR328" s="171"/>
      <c r="AS328" s="171"/>
      <c r="AT328" s="171"/>
      <c r="AU328" s="171"/>
      <c r="AV328" s="171"/>
      <c r="AW328" s="171"/>
      <c r="AX328" s="171"/>
      <c r="AY328" s="171"/>
      <c r="AZ328" s="171"/>
      <c r="BA328" s="171"/>
      <c r="BB328" s="171"/>
      <c r="BC328" s="171"/>
      <c r="BD328" s="171"/>
      <c r="BE328" s="171"/>
      <c r="BF328" s="171"/>
      <c r="BG328" s="171"/>
      <c r="BH328" s="171"/>
    </row>
    <row r="329" spans="1:60" outlineLevel="3" x14ac:dyDescent="0.2">
      <c r="A329" s="172"/>
      <c r="B329" s="173"/>
      <c r="C329" s="174" t="s">
        <v>381</v>
      </c>
      <c r="D329" s="175"/>
      <c r="E329" s="176">
        <v>44.94</v>
      </c>
      <c r="F329" s="196"/>
      <c r="G329" s="169"/>
      <c r="H329" s="169"/>
      <c r="I329" s="169"/>
      <c r="J329" s="169"/>
      <c r="K329" s="169"/>
      <c r="L329" s="169"/>
      <c r="M329" s="169"/>
      <c r="N329" s="170"/>
      <c r="O329" s="170"/>
      <c r="P329" s="170"/>
      <c r="Q329" s="170"/>
      <c r="R329" s="169"/>
      <c r="S329" s="169"/>
      <c r="T329" s="169"/>
      <c r="U329" s="169"/>
      <c r="V329" s="169"/>
      <c r="W329" s="169"/>
      <c r="X329" s="169"/>
      <c r="Y329" s="169"/>
      <c r="Z329" s="171"/>
      <c r="AA329" s="171"/>
      <c r="AB329" s="171"/>
      <c r="AC329" s="171"/>
      <c r="AD329" s="171"/>
      <c r="AE329" s="171"/>
      <c r="AF329" s="171"/>
      <c r="AG329" s="171" t="s">
        <v>148</v>
      </c>
      <c r="AH329" s="171">
        <v>0</v>
      </c>
      <c r="AI329" s="171"/>
      <c r="AJ329" s="171"/>
      <c r="AK329" s="171"/>
      <c r="AL329" s="171"/>
      <c r="AM329" s="171"/>
      <c r="AN329" s="171"/>
      <c r="AO329" s="171"/>
      <c r="AP329" s="171"/>
      <c r="AQ329" s="171"/>
      <c r="AR329" s="171"/>
      <c r="AS329" s="171"/>
      <c r="AT329" s="171"/>
      <c r="AU329" s="171"/>
      <c r="AV329" s="171"/>
      <c r="AW329" s="171"/>
      <c r="AX329" s="171"/>
      <c r="AY329" s="171"/>
      <c r="AZ329" s="171"/>
      <c r="BA329" s="171"/>
      <c r="BB329" s="171"/>
      <c r="BC329" s="171"/>
      <c r="BD329" s="171"/>
      <c r="BE329" s="171"/>
      <c r="BF329" s="171"/>
      <c r="BG329" s="171"/>
      <c r="BH329" s="171"/>
    </row>
    <row r="330" spans="1:60" outlineLevel="1" x14ac:dyDescent="0.2">
      <c r="A330" s="162">
        <v>45</v>
      </c>
      <c r="B330" s="163" t="s">
        <v>382</v>
      </c>
      <c r="C330" s="164" t="s">
        <v>383</v>
      </c>
      <c r="D330" s="165" t="s">
        <v>159</v>
      </c>
      <c r="E330" s="166">
        <v>629.89919999999995</v>
      </c>
      <c r="F330" s="140"/>
      <c r="G330" s="167">
        <f>ROUND(E330*F330,2)</f>
        <v>0</v>
      </c>
      <c r="H330" s="168"/>
      <c r="I330" s="169">
        <f>ROUND(E330*H330,2)</f>
        <v>0</v>
      </c>
      <c r="J330" s="168"/>
      <c r="K330" s="169">
        <f>ROUND(E330*J330,2)</f>
        <v>0</v>
      </c>
      <c r="L330" s="169">
        <v>21</v>
      </c>
      <c r="M330" s="169">
        <f>G330*(1+L330/100)</f>
        <v>0</v>
      </c>
      <c r="N330" s="170">
        <v>0</v>
      </c>
      <c r="O330" s="170">
        <f>ROUND(E330*N330,2)</f>
        <v>0</v>
      </c>
      <c r="P330" s="170">
        <v>0.01</v>
      </c>
      <c r="Q330" s="170">
        <f>ROUND(E330*P330,2)</f>
        <v>6.3</v>
      </c>
      <c r="R330" s="169"/>
      <c r="S330" s="169" t="s">
        <v>143</v>
      </c>
      <c r="T330" s="169" t="s">
        <v>143</v>
      </c>
      <c r="U330" s="169">
        <v>0.08</v>
      </c>
      <c r="V330" s="169">
        <f>ROUND(E330*U330,2)</f>
        <v>50.39</v>
      </c>
      <c r="W330" s="169"/>
      <c r="X330" s="169" t="s">
        <v>144</v>
      </c>
      <c r="Y330" s="169" t="s">
        <v>145</v>
      </c>
      <c r="Z330" s="171"/>
      <c r="AA330" s="171"/>
      <c r="AB330" s="171"/>
      <c r="AC330" s="171"/>
      <c r="AD330" s="171"/>
      <c r="AE330" s="171"/>
      <c r="AF330" s="171"/>
      <c r="AG330" s="171" t="s">
        <v>146</v>
      </c>
      <c r="AH330" s="171"/>
      <c r="AI330" s="171"/>
      <c r="AJ330" s="171"/>
      <c r="AK330" s="171"/>
      <c r="AL330" s="171"/>
      <c r="AM330" s="171"/>
      <c r="AN330" s="171"/>
      <c r="AO330" s="171"/>
      <c r="AP330" s="171"/>
      <c r="AQ330" s="171"/>
      <c r="AR330" s="171"/>
      <c r="AS330" s="171"/>
      <c r="AT330" s="171"/>
      <c r="AU330" s="171"/>
      <c r="AV330" s="171"/>
      <c r="AW330" s="171"/>
      <c r="AX330" s="171"/>
      <c r="AY330" s="171"/>
      <c r="AZ330" s="171"/>
      <c r="BA330" s="171"/>
      <c r="BB330" s="171"/>
      <c r="BC330" s="171"/>
      <c r="BD330" s="171"/>
      <c r="BE330" s="171"/>
      <c r="BF330" s="171"/>
      <c r="BG330" s="171"/>
      <c r="BH330" s="171"/>
    </row>
    <row r="331" spans="1:60" outlineLevel="2" x14ac:dyDescent="0.2">
      <c r="A331" s="172"/>
      <c r="B331" s="173"/>
      <c r="C331" s="174" t="s">
        <v>149</v>
      </c>
      <c r="D331" s="175"/>
      <c r="E331" s="176"/>
      <c r="F331" s="196"/>
      <c r="G331" s="169"/>
      <c r="H331" s="169"/>
      <c r="I331" s="169"/>
      <c r="J331" s="169"/>
      <c r="K331" s="169"/>
      <c r="L331" s="169"/>
      <c r="M331" s="169"/>
      <c r="N331" s="170"/>
      <c r="O331" s="170"/>
      <c r="P331" s="170"/>
      <c r="Q331" s="170"/>
      <c r="R331" s="169"/>
      <c r="S331" s="169"/>
      <c r="T331" s="169"/>
      <c r="U331" s="169"/>
      <c r="V331" s="169"/>
      <c r="W331" s="169"/>
      <c r="X331" s="169"/>
      <c r="Y331" s="169"/>
      <c r="Z331" s="171"/>
      <c r="AA331" s="171"/>
      <c r="AB331" s="171"/>
      <c r="AC331" s="171"/>
      <c r="AD331" s="171"/>
      <c r="AE331" s="171"/>
      <c r="AF331" s="171"/>
      <c r="AG331" s="171" t="s">
        <v>148</v>
      </c>
      <c r="AH331" s="171">
        <v>0</v>
      </c>
      <c r="AI331" s="171"/>
      <c r="AJ331" s="171"/>
      <c r="AK331" s="171"/>
      <c r="AL331" s="171"/>
      <c r="AM331" s="171"/>
      <c r="AN331" s="171"/>
      <c r="AO331" s="171"/>
      <c r="AP331" s="171"/>
      <c r="AQ331" s="171"/>
      <c r="AR331" s="171"/>
      <c r="AS331" s="171"/>
      <c r="AT331" s="171"/>
      <c r="AU331" s="171"/>
      <c r="AV331" s="171"/>
      <c r="AW331" s="171"/>
      <c r="AX331" s="171"/>
      <c r="AY331" s="171"/>
      <c r="AZ331" s="171"/>
      <c r="BA331" s="171"/>
      <c r="BB331" s="171"/>
      <c r="BC331" s="171"/>
      <c r="BD331" s="171"/>
      <c r="BE331" s="171"/>
      <c r="BF331" s="171"/>
      <c r="BG331" s="171"/>
      <c r="BH331" s="171"/>
    </row>
    <row r="332" spans="1:60" outlineLevel="3" x14ac:dyDescent="0.2">
      <c r="A332" s="172"/>
      <c r="B332" s="173"/>
      <c r="C332" s="174" t="s">
        <v>384</v>
      </c>
      <c r="D332" s="175"/>
      <c r="E332" s="176">
        <v>44.33</v>
      </c>
      <c r="F332" s="196"/>
      <c r="G332" s="169"/>
      <c r="H332" s="169"/>
      <c r="I332" s="169"/>
      <c r="J332" s="169"/>
      <c r="K332" s="169"/>
      <c r="L332" s="169"/>
      <c r="M332" s="169"/>
      <c r="N332" s="170"/>
      <c r="O332" s="170"/>
      <c r="P332" s="170"/>
      <c r="Q332" s="170"/>
      <c r="R332" s="169"/>
      <c r="S332" s="169"/>
      <c r="T332" s="169"/>
      <c r="U332" s="169"/>
      <c r="V332" s="169"/>
      <c r="W332" s="169"/>
      <c r="X332" s="169"/>
      <c r="Y332" s="169"/>
      <c r="Z332" s="171"/>
      <c r="AA332" s="171"/>
      <c r="AB332" s="171"/>
      <c r="AC332" s="171"/>
      <c r="AD332" s="171"/>
      <c r="AE332" s="171"/>
      <c r="AF332" s="171"/>
      <c r="AG332" s="171" t="s">
        <v>148</v>
      </c>
      <c r="AH332" s="171">
        <v>0</v>
      </c>
      <c r="AI332" s="171"/>
      <c r="AJ332" s="171"/>
      <c r="AK332" s="171"/>
      <c r="AL332" s="171"/>
      <c r="AM332" s="171"/>
      <c r="AN332" s="171"/>
      <c r="AO332" s="171"/>
      <c r="AP332" s="171"/>
      <c r="AQ332" s="171"/>
      <c r="AR332" s="171"/>
      <c r="AS332" s="171"/>
      <c r="AT332" s="171"/>
      <c r="AU332" s="171"/>
      <c r="AV332" s="171"/>
      <c r="AW332" s="171"/>
      <c r="AX332" s="171"/>
      <c r="AY332" s="171"/>
      <c r="AZ332" s="171"/>
      <c r="BA332" s="171"/>
      <c r="BB332" s="171"/>
      <c r="BC332" s="171"/>
      <c r="BD332" s="171"/>
      <c r="BE332" s="171"/>
      <c r="BF332" s="171"/>
      <c r="BG332" s="171"/>
      <c r="BH332" s="171"/>
    </row>
    <row r="333" spans="1:60" outlineLevel="3" x14ac:dyDescent="0.2">
      <c r="A333" s="172"/>
      <c r="B333" s="173"/>
      <c r="C333" s="174" t="s">
        <v>385</v>
      </c>
      <c r="D333" s="175"/>
      <c r="E333" s="176">
        <v>37.895000000000003</v>
      </c>
      <c r="F333" s="196"/>
      <c r="G333" s="169"/>
      <c r="H333" s="169"/>
      <c r="I333" s="169"/>
      <c r="J333" s="169"/>
      <c r="K333" s="169"/>
      <c r="L333" s="169"/>
      <c r="M333" s="169"/>
      <c r="N333" s="170"/>
      <c r="O333" s="170"/>
      <c r="P333" s="170"/>
      <c r="Q333" s="170"/>
      <c r="R333" s="169"/>
      <c r="S333" s="169"/>
      <c r="T333" s="169"/>
      <c r="U333" s="169"/>
      <c r="V333" s="169"/>
      <c r="W333" s="169"/>
      <c r="X333" s="169"/>
      <c r="Y333" s="169"/>
      <c r="Z333" s="171"/>
      <c r="AA333" s="171"/>
      <c r="AB333" s="171"/>
      <c r="AC333" s="171"/>
      <c r="AD333" s="171"/>
      <c r="AE333" s="171"/>
      <c r="AF333" s="171"/>
      <c r="AG333" s="171" t="s">
        <v>148</v>
      </c>
      <c r="AH333" s="171">
        <v>0</v>
      </c>
      <c r="AI333" s="171"/>
      <c r="AJ333" s="171"/>
      <c r="AK333" s="171"/>
      <c r="AL333" s="171"/>
      <c r="AM333" s="171"/>
      <c r="AN333" s="171"/>
      <c r="AO333" s="171"/>
      <c r="AP333" s="171"/>
      <c r="AQ333" s="171"/>
      <c r="AR333" s="171"/>
      <c r="AS333" s="171"/>
      <c r="AT333" s="171"/>
      <c r="AU333" s="171"/>
      <c r="AV333" s="171"/>
      <c r="AW333" s="171"/>
      <c r="AX333" s="171"/>
      <c r="AY333" s="171"/>
      <c r="AZ333" s="171"/>
      <c r="BA333" s="171"/>
      <c r="BB333" s="171"/>
      <c r="BC333" s="171"/>
      <c r="BD333" s="171"/>
      <c r="BE333" s="171"/>
      <c r="BF333" s="171"/>
      <c r="BG333" s="171"/>
      <c r="BH333" s="171"/>
    </row>
    <row r="334" spans="1:60" outlineLevel="3" x14ac:dyDescent="0.2">
      <c r="A334" s="172"/>
      <c r="B334" s="173"/>
      <c r="C334" s="174" t="s">
        <v>386</v>
      </c>
      <c r="D334" s="175"/>
      <c r="E334" s="176">
        <v>20.605</v>
      </c>
      <c r="F334" s="196"/>
      <c r="G334" s="169"/>
      <c r="H334" s="169"/>
      <c r="I334" s="169"/>
      <c r="J334" s="169"/>
      <c r="K334" s="169"/>
      <c r="L334" s="169"/>
      <c r="M334" s="169"/>
      <c r="N334" s="170"/>
      <c r="O334" s="170"/>
      <c r="P334" s="170"/>
      <c r="Q334" s="170"/>
      <c r="R334" s="169"/>
      <c r="S334" s="169"/>
      <c r="T334" s="169"/>
      <c r="U334" s="169"/>
      <c r="V334" s="169"/>
      <c r="W334" s="169"/>
      <c r="X334" s="169"/>
      <c r="Y334" s="169"/>
      <c r="Z334" s="171"/>
      <c r="AA334" s="171"/>
      <c r="AB334" s="171"/>
      <c r="AC334" s="171"/>
      <c r="AD334" s="171"/>
      <c r="AE334" s="171"/>
      <c r="AF334" s="171"/>
      <c r="AG334" s="171" t="s">
        <v>148</v>
      </c>
      <c r="AH334" s="171">
        <v>0</v>
      </c>
      <c r="AI334" s="171"/>
      <c r="AJ334" s="171"/>
      <c r="AK334" s="171"/>
      <c r="AL334" s="171"/>
      <c r="AM334" s="171"/>
      <c r="AN334" s="171"/>
      <c r="AO334" s="171"/>
      <c r="AP334" s="171"/>
      <c r="AQ334" s="171"/>
      <c r="AR334" s="171"/>
      <c r="AS334" s="171"/>
      <c r="AT334" s="171"/>
      <c r="AU334" s="171"/>
      <c r="AV334" s="171"/>
      <c r="AW334" s="171"/>
      <c r="AX334" s="171"/>
      <c r="AY334" s="171"/>
      <c r="AZ334" s="171"/>
      <c r="BA334" s="171"/>
      <c r="BB334" s="171"/>
      <c r="BC334" s="171"/>
      <c r="BD334" s="171"/>
      <c r="BE334" s="171"/>
      <c r="BF334" s="171"/>
      <c r="BG334" s="171"/>
      <c r="BH334" s="171"/>
    </row>
    <row r="335" spans="1:60" outlineLevel="3" x14ac:dyDescent="0.2">
      <c r="A335" s="172"/>
      <c r="B335" s="173"/>
      <c r="C335" s="174" t="s">
        <v>387</v>
      </c>
      <c r="D335" s="175"/>
      <c r="E335" s="176">
        <v>39.454999999999998</v>
      </c>
      <c r="F335" s="196"/>
      <c r="G335" s="169"/>
      <c r="H335" s="169"/>
      <c r="I335" s="169"/>
      <c r="J335" s="169"/>
      <c r="K335" s="169"/>
      <c r="L335" s="169"/>
      <c r="M335" s="169"/>
      <c r="N335" s="170"/>
      <c r="O335" s="170"/>
      <c r="P335" s="170"/>
      <c r="Q335" s="170"/>
      <c r="R335" s="169"/>
      <c r="S335" s="169"/>
      <c r="T335" s="169"/>
      <c r="U335" s="169"/>
      <c r="V335" s="169"/>
      <c r="W335" s="169"/>
      <c r="X335" s="169"/>
      <c r="Y335" s="169"/>
      <c r="Z335" s="171"/>
      <c r="AA335" s="171"/>
      <c r="AB335" s="171"/>
      <c r="AC335" s="171"/>
      <c r="AD335" s="171"/>
      <c r="AE335" s="171"/>
      <c r="AF335" s="171"/>
      <c r="AG335" s="171" t="s">
        <v>148</v>
      </c>
      <c r="AH335" s="171">
        <v>0</v>
      </c>
      <c r="AI335" s="171"/>
      <c r="AJ335" s="171"/>
      <c r="AK335" s="171"/>
      <c r="AL335" s="171"/>
      <c r="AM335" s="171"/>
      <c r="AN335" s="171"/>
      <c r="AO335" s="171"/>
      <c r="AP335" s="171"/>
      <c r="AQ335" s="171"/>
      <c r="AR335" s="171"/>
      <c r="AS335" s="171"/>
      <c r="AT335" s="171"/>
      <c r="AU335" s="171"/>
      <c r="AV335" s="171"/>
      <c r="AW335" s="171"/>
      <c r="AX335" s="171"/>
      <c r="AY335" s="171"/>
      <c r="AZ335" s="171"/>
      <c r="BA335" s="171"/>
      <c r="BB335" s="171"/>
      <c r="BC335" s="171"/>
      <c r="BD335" s="171"/>
      <c r="BE335" s="171"/>
      <c r="BF335" s="171"/>
      <c r="BG335" s="171"/>
      <c r="BH335" s="171"/>
    </row>
    <row r="336" spans="1:60" outlineLevel="3" x14ac:dyDescent="0.2">
      <c r="A336" s="172"/>
      <c r="B336" s="173"/>
      <c r="C336" s="174" t="s">
        <v>388</v>
      </c>
      <c r="D336" s="175"/>
      <c r="E336" s="176">
        <v>34.515000000000001</v>
      </c>
      <c r="F336" s="196"/>
      <c r="G336" s="169"/>
      <c r="H336" s="169"/>
      <c r="I336" s="169"/>
      <c r="J336" s="169"/>
      <c r="K336" s="169"/>
      <c r="L336" s="169"/>
      <c r="M336" s="169"/>
      <c r="N336" s="170"/>
      <c r="O336" s="170"/>
      <c r="P336" s="170"/>
      <c r="Q336" s="170"/>
      <c r="R336" s="169"/>
      <c r="S336" s="169"/>
      <c r="T336" s="169"/>
      <c r="U336" s="169"/>
      <c r="V336" s="169"/>
      <c r="W336" s="169"/>
      <c r="X336" s="169"/>
      <c r="Y336" s="169"/>
      <c r="Z336" s="171"/>
      <c r="AA336" s="171"/>
      <c r="AB336" s="171"/>
      <c r="AC336" s="171"/>
      <c r="AD336" s="171"/>
      <c r="AE336" s="171"/>
      <c r="AF336" s="171"/>
      <c r="AG336" s="171" t="s">
        <v>148</v>
      </c>
      <c r="AH336" s="171">
        <v>0</v>
      </c>
      <c r="AI336" s="171"/>
      <c r="AJ336" s="171"/>
      <c r="AK336" s="171"/>
      <c r="AL336" s="171"/>
      <c r="AM336" s="171"/>
      <c r="AN336" s="171"/>
      <c r="AO336" s="171"/>
      <c r="AP336" s="171"/>
      <c r="AQ336" s="171"/>
      <c r="AR336" s="171"/>
      <c r="AS336" s="171"/>
      <c r="AT336" s="171"/>
      <c r="AU336" s="171"/>
      <c r="AV336" s="171"/>
      <c r="AW336" s="171"/>
      <c r="AX336" s="171"/>
      <c r="AY336" s="171"/>
      <c r="AZ336" s="171"/>
      <c r="BA336" s="171"/>
      <c r="BB336" s="171"/>
      <c r="BC336" s="171"/>
      <c r="BD336" s="171"/>
      <c r="BE336" s="171"/>
      <c r="BF336" s="171"/>
      <c r="BG336" s="171"/>
      <c r="BH336" s="171"/>
    </row>
    <row r="337" spans="1:60" outlineLevel="3" x14ac:dyDescent="0.2">
      <c r="A337" s="172"/>
      <c r="B337" s="173"/>
      <c r="C337" s="174" t="s">
        <v>389</v>
      </c>
      <c r="D337" s="175"/>
      <c r="E337" s="176">
        <v>34.06</v>
      </c>
      <c r="F337" s="196"/>
      <c r="G337" s="169"/>
      <c r="H337" s="169"/>
      <c r="I337" s="169"/>
      <c r="J337" s="169"/>
      <c r="K337" s="169"/>
      <c r="L337" s="169"/>
      <c r="M337" s="169"/>
      <c r="N337" s="170"/>
      <c r="O337" s="170"/>
      <c r="P337" s="170"/>
      <c r="Q337" s="170"/>
      <c r="R337" s="169"/>
      <c r="S337" s="169"/>
      <c r="T337" s="169"/>
      <c r="U337" s="169"/>
      <c r="V337" s="169"/>
      <c r="W337" s="169"/>
      <c r="X337" s="169"/>
      <c r="Y337" s="169"/>
      <c r="Z337" s="171"/>
      <c r="AA337" s="171"/>
      <c r="AB337" s="171"/>
      <c r="AC337" s="171"/>
      <c r="AD337" s="171"/>
      <c r="AE337" s="171"/>
      <c r="AF337" s="171"/>
      <c r="AG337" s="171" t="s">
        <v>148</v>
      </c>
      <c r="AH337" s="171">
        <v>0</v>
      </c>
      <c r="AI337" s="171"/>
      <c r="AJ337" s="171"/>
      <c r="AK337" s="171"/>
      <c r="AL337" s="171"/>
      <c r="AM337" s="171"/>
      <c r="AN337" s="171"/>
      <c r="AO337" s="171"/>
      <c r="AP337" s="171"/>
      <c r="AQ337" s="171"/>
      <c r="AR337" s="171"/>
      <c r="AS337" s="171"/>
      <c r="AT337" s="171"/>
      <c r="AU337" s="171"/>
      <c r="AV337" s="171"/>
      <c r="AW337" s="171"/>
      <c r="AX337" s="171"/>
      <c r="AY337" s="171"/>
      <c r="AZ337" s="171"/>
      <c r="BA337" s="171"/>
      <c r="BB337" s="171"/>
      <c r="BC337" s="171"/>
      <c r="BD337" s="171"/>
      <c r="BE337" s="171"/>
      <c r="BF337" s="171"/>
      <c r="BG337" s="171"/>
      <c r="BH337" s="171"/>
    </row>
    <row r="338" spans="1:60" outlineLevel="3" x14ac:dyDescent="0.2">
      <c r="A338" s="172"/>
      <c r="B338" s="173"/>
      <c r="C338" s="174" t="s">
        <v>390</v>
      </c>
      <c r="D338" s="175"/>
      <c r="E338" s="176">
        <v>15.145</v>
      </c>
      <c r="F338" s="196"/>
      <c r="G338" s="169"/>
      <c r="H338" s="169"/>
      <c r="I338" s="169"/>
      <c r="J338" s="169"/>
      <c r="K338" s="169"/>
      <c r="L338" s="169"/>
      <c r="M338" s="169"/>
      <c r="N338" s="170"/>
      <c r="O338" s="170"/>
      <c r="P338" s="170"/>
      <c r="Q338" s="170"/>
      <c r="R338" s="169"/>
      <c r="S338" s="169"/>
      <c r="T338" s="169"/>
      <c r="U338" s="169"/>
      <c r="V338" s="169"/>
      <c r="W338" s="169"/>
      <c r="X338" s="169"/>
      <c r="Y338" s="169"/>
      <c r="Z338" s="171"/>
      <c r="AA338" s="171"/>
      <c r="AB338" s="171"/>
      <c r="AC338" s="171"/>
      <c r="AD338" s="171"/>
      <c r="AE338" s="171"/>
      <c r="AF338" s="171"/>
      <c r="AG338" s="171" t="s">
        <v>148</v>
      </c>
      <c r="AH338" s="171">
        <v>0</v>
      </c>
      <c r="AI338" s="171"/>
      <c r="AJ338" s="171"/>
      <c r="AK338" s="171"/>
      <c r="AL338" s="171"/>
      <c r="AM338" s="171"/>
      <c r="AN338" s="171"/>
      <c r="AO338" s="171"/>
      <c r="AP338" s="171"/>
      <c r="AQ338" s="171"/>
      <c r="AR338" s="171"/>
      <c r="AS338" s="171"/>
      <c r="AT338" s="171"/>
      <c r="AU338" s="171"/>
      <c r="AV338" s="171"/>
      <c r="AW338" s="171"/>
      <c r="AX338" s="171"/>
      <c r="AY338" s="171"/>
      <c r="AZ338" s="171"/>
      <c r="BA338" s="171"/>
      <c r="BB338" s="171"/>
      <c r="BC338" s="171"/>
      <c r="BD338" s="171"/>
      <c r="BE338" s="171"/>
      <c r="BF338" s="171"/>
      <c r="BG338" s="171"/>
      <c r="BH338" s="171"/>
    </row>
    <row r="339" spans="1:60" outlineLevel="3" x14ac:dyDescent="0.2">
      <c r="A339" s="172"/>
      <c r="B339" s="173"/>
      <c r="C339" s="174" t="s">
        <v>391</v>
      </c>
      <c r="D339" s="175"/>
      <c r="E339" s="176">
        <v>12.22</v>
      </c>
      <c r="F339" s="196"/>
      <c r="G339" s="169"/>
      <c r="H339" s="169"/>
      <c r="I339" s="169"/>
      <c r="J339" s="169"/>
      <c r="K339" s="169"/>
      <c r="L339" s="169"/>
      <c r="M339" s="169"/>
      <c r="N339" s="170"/>
      <c r="O339" s="170"/>
      <c r="P339" s="170"/>
      <c r="Q339" s="170"/>
      <c r="R339" s="169"/>
      <c r="S339" s="169"/>
      <c r="T339" s="169"/>
      <c r="U339" s="169"/>
      <c r="V339" s="169"/>
      <c r="W339" s="169"/>
      <c r="X339" s="169"/>
      <c r="Y339" s="169"/>
      <c r="Z339" s="171"/>
      <c r="AA339" s="171"/>
      <c r="AB339" s="171"/>
      <c r="AC339" s="171"/>
      <c r="AD339" s="171"/>
      <c r="AE339" s="171"/>
      <c r="AF339" s="171"/>
      <c r="AG339" s="171" t="s">
        <v>148</v>
      </c>
      <c r="AH339" s="171">
        <v>0</v>
      </c>
      <c r="AI339" s="171"/>
      <c r="AJ339" s="171"/>
      <c r="AK339" s="171"/>
      <c r="AL339" s="171"/>
      <c r="AM339" s="171"/>
      <c r="AN339" s="171"/>
      <c r="AO339" s="171"/>
      <c r="AP339" s="171"/>
      <c r="AQ339" s="171"/>
      <c r="AR339" s="171"/>
      <c r="AS339" s="171"/>
      <c r="AT339" s="171"/>
      <c r="AU339" s="171"/>
      <c r="AV339" s="171"/>
      <c r="AW339" s="171"/>
      <c r="AX339" s="171"/>
      <c r="AY339" s="171"/>
      <c r="AZ339" s="171"/>
      <c r="BA339" s="171"/>
      <c r="BB339" s="171"/>
      <c r="BC339" s="171"/>
      <c r="BD339" s="171"/>
      <c r="BE339" s="171"/>
      <c r="BF339" s="171"/>
      <c r="BG339" s="171"/>
      <c r="BH339" s="171"/>
    </row>
    <row r="340" spans="1:60" outlineLevel="3" x14ac:dyDescent="0.2">
      <c r="A340" s="172"/>
      <c r="B340" s="173"/>
      <c r="C340" s="174" t="s">
        <v>392</v>
      </c>
      <c r="D340" s="175"/>
      <c r="E340" s="176">
        <v>17.809999999999999</v>
      </c>
      <c r="F340" s="196"/>
      <c r="G340" s="169"/>
      <c r="H340" s="169"/>
      <c r="I340" s="169"/>
      <c r="J340" s="169"/>
      <c r="K340" s="169"/>
      <c r="L340" s="169"/>
      <c r="M340" s="169"/>
      <c r="N340" s="170"/>
      <c r="O340" s="170"/>
      <c r="P340" s="170"/>
      <c r="Q340" s="170"/>
      <c r="R340" s="169"/>
      <c r="S340" s="169"/>
      <c r="T340" s="169"/>
      <c r="U340" s="169"/>
      <c r="V340" s="169"/>
      <c r="W340" s="169"/>
      <c r="X340" s="169"/>
      <c r="Y340" s="169"/>
      <c r="Z340" s="171"/>
      <c r="AA340" s="171"/>
      <c r="AB340" s="171"/>
      <c r="AC340" s="171"/>
      <c r="AD340" s="171"/>
      <c r="AE340" s="171"/>
      <c r="AF340" s="171"/>
      <c r="AG340" s="171" t="s">
        <v>148</v>
      </c>
      <c r="AH340" s="171">
        <v>0</v>
      </c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1"/>
      <c r="AY340" s="171"/>
      <c r="AZ340" s="171"/>
      <c r="BA340" s="171"/>
      <c r="BB340" s="171"/>
      <c r="BC340" s="171"/>
      <c r="BD340" s="171"/>
      <c r="BE340" s="171"/>
      <c r="BF340" s="171"/>
      <c r="BG340" s="171"/>
      <c r="BH340" s="171"/>
    </row>
    <row r="341" spans="1:60" outlineLevel="3" x14ac:dyDescent="0.2">
      <c r="A341" s="172"/>
      <c r="B341" s="173"/>
      <c r="C341" s="174" t="s">
        <v>393</v>
      </c>
      <c r="D341" s="175"/>
      <c r="E341" s="176">
        <v>14.82</v>
      </c>
      <c r="F341" s="196"/>
      <c r="G341" s="169"/>
      <c r="H341" s="169"/>
      <c r="I341" s="169"/>
      <c r="J341" s="169"/>
      <c r="K341" s="169"/>
      <c r="L341" s="169"/>
      <c r="M341" s="169"/>
      <c r="N341" s="170"/>
      <c r="O341" s="170"/>
      <c r="P341" s="170"/>
      <c r="Q341" s="170"/>
      <c r="R341" s="169"/>
      <c r="S341" s="169"/>
      <c r="T341" s="169"/>
      <c r="U341" s="169"/>
      <c r="V341" s="169"/>
      <c r="W341" s="169"/>
      <c r="X341" s="169"/>
      <c r="Y341" s="169"/>
      <c r="Z341" s="171"/>
      <c r="AA341" s="171"/>
      <c r="AB341" s="171"/>
      <c r="AC341" s="171"/>
      <c r="AD341" s="171"/>
      <c r="AE341" s="171"/>
      <c r="AF341" s="171"/>
      <c r="AG341" s="171" t="s">
        <v>148</v>
      </c>
      <c r="AH341" s="171">
        <v>0</v>
      </c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1"/>
      <c r="AY341" s="171"/>
      <c r="AZ341" s="171"/>
      <c r="BA341" s="171"/>
      <c r="BB341" s="171"/>
      <c r="BC341" s="171"/>
      <c r="BD341" s="171"/>
      <c r="BE341" s="171"/>
      <c r="BF341" s="171"/>
      <c r="BG341" s="171"/>
      <c r="BH341" s="171"/>
    </row>
    <row r="342" spans="1:60" outlineLevel="3" x14ac:dyDescent="0.2">
      <c r="A342" s="172"/>
      <c r="B342" s="173"/>
      <c r="C342" s="174" t="s">
        <v>151</v>
      </c>
      <c r="D342" s="175"/>
      <c r="E342" s="176"/>
      <c r="F342" s="196"/>
      <c r="G342" s="169"/>
      <c r="H342" s="169"/>
      <c r="I342" s="169"/>
      <c r="J342" s="169"/>
      <c r="K342" s="169"/>
      <c r="L342" s="169"/>
      <c r="M342" s="169"/>
      <c r="N342" s="170"/>
      <c r="O342" s="170"/>
      <c r="P342" s="170"/>
      <c r="Q342" s="170"/>
      <c r="R342" s="169"/>
      <c r="S342" s="169"/>
      <c r="T342" s="169"/>
      <c r="U342" s="169"/>
      <c r="V342" s="169"/>
      <c r="W342" s="169"/>
      <c r="X342" s="169"/>
      <c r="Y342" s="169"/>
      <c r="Z342" s="171"/>
      <c r="AA342" s="171"/>
      <c r="AB342" s="171"/>
      <c r="AC342" s="171"/>
      <c r="AD342" s="171"/>
      <c r="AE342" s="171"/>
      <c r="AF342" s="171"/>
      <c r="AG342" s="171" t="s">
        <v>148</v>
      </c>
      <c r="AH342" s="171">
        <v>0</v>
      </c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  <c r="AY342" s="171"/>
      <c r="AZ342" s="171"/>
      <c r="BA342" s="171"/>
      <c r="BB342" s="171"/>
      <c r="BC342" s="171"/>
      <c r="BD342" s="171"/>
      <c r="BE342" s="171"/>
      <c r="BF342" s="171"/>
      <c r="BG342" s="171"/>
      <c r="BH342" s="171"/>
    </row>
    <row r="343" spans="1:60" outlineLevel="3" x14ac:dyDescent="0.2">
      <c r="A343" s="172"/>
      <c r="B343" s="173"/>
      <c r="C343" s="174" t="s">
        <v>394</v>
      </c>
      <c r="D343" s="175"/>
      <c r="E343" s="176">
        <v>44.265000000000001</v>
      </c>
      <c r="F343" s="196"/>
      <c r="G343" s="169"/>
      <c r="H343" s="169"/>
      <c r="I343" s="169"/>
      <c r="J343" s="169"/>
      <c r="K343" s="169"/>
      <c r="L343" s="169"/>
      <c r="M343" s="169"/>
      <c r="N343" s="170"/>
      <c r="O343" s="170"/>
      <c r="P343" s="170"/>
      <c r="Q343" s="170"/>
      <c r="R343" s="169"/>
      <c r="S343" s="169"/>
      <c r="T343" s="169"/>
      <c r="U343" s="169"/>
      <c r="V343" s="169"/>
      <c r="W343" s="169"/>
      <c r="X343" s="169"/>
      <c r="Y343" s="169"/>
      <c r="Z343" s="171"/>
      <c r="AA343" s="171"/>
      <c r="AB343" s="171"/>
      <c r="AC343" s="171"/>
      <c r="AD343" s="171"/>
      <c r="AE343" s="171"/>
      <c r="AF343" s="171"/>
      <c r="AG343" s="171" t="s">
        <v>148</v>
      </c>
      <c r="AH343" s="171">
        <v>0</v>
      </c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  <c r="AY343" s="171"/>
      <c r="AZ343" s="171"/>
      <c r="BA343" s="171"/>
      <c r="BB343" s="171"/>
      <c r="BC343" s="171"/>
      <c r="BD343" s="171"/>
      <c r="BE343" s="171"/>
      <c r="BF343" s="171"/>
      <c r="BG343" s="171"/>
      <c r="BH343" s="171"/>
    </row>
    <row r="344" spans="1:60" outlineLevel="3" x14ac:dyDescent="0.2">
      <c r="A344" s="172"/>
      <c r="B344" s="173"/>
      <c r="C344" s="174" t="s">
        <v>395</v>
      </c>
      <c r="D344" s="175"/>
      <c r="E344" s="176">
        <v>37.83</v>
      </c>
      <c r="F344" s="196"/>
      <c r="G344" s="169"/>
      <c r="H344" s="169"/>
      <c r="I344" s="169"/>
      <c r="J344" s="169"/>
      <c r="K344" s="169"/>
      <c r="L344" s="169"/>
      <c r="M344" s="169"/>
      <c r="N344" s="170"/>
      <c r="O344" s="170"/>
      <c r="P344" s="170"/>
      <c r="Q344" s="170"/>
      <c r="R344" s="169"/>
      <c r="S344" s="169"/>
      <c r="T344" s="169"/>
      <c r="U344" s="169"/>
      <c r="V344" s="169"/>
      <c r="W344" s="169"/>
      <c r="X344" s="169"/>
      <c r="Y344" s="169"/>
      <c r="Z344" s="171"/>
      <c r="AA344" s="171"/>
      <c r="AB344" s="171"/>
      <c r="AC344" s="171"/>
      <c r="AD344" s="171"/>
      <c r="AE344" s="171"/>
      <c r="AF344" s="171"/>
      <c r="AG344" s="171" t="s">
        <v>148</v>
      </c>
      <c r="AH344" s="171">
        <v>0</v>
      </c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  <c r="AY344" s="171"/>
      <c r="AZ344" s="171"/>
      <c r="BA344" s="171"/>
      <c r="BB344" s="171"/>
      <c r="BC344" s="171"/>
      <c r="BD344" s="171"/>
      <c r="BE344" s="171"/>
      <c r="BF344" s="171"/>
      <c r="BG344" s="171"/>
      <c r="BH344" s="171"/>
    </row>
    <row r="345" spans="1:60" outlineLevel="3" x14ac:dyDescent="0.2">
      <c r="A345" s="172"/>
      <c r="B345" s="173"/>
      <c r="C345" s="174" t="s">
        <v>396</v>
      </c>
      <c r="D345" s="175"/>
      <c r="E345" s="176">
        <v>22.555</v>
      </c>
      <c r="F345" s="196"/>
      <c r="G345" s="169"/>
      <c r="H345" s="169"/>
      <c r="I345" s="169"/>
      <c r="J345" s="169"/>
      <c r="K345" s="169"/>
      <c r="L345" s="169"/>
      <c r="M345" s="169"/>
      <c r="N345" s="170"/>
      <c r="O345" s="170"/>
      <c r="P345" s="170"/>
      <c r="Q345" s="170"/>
      <c r="R345" s="169"/>
      <c r="S345" s="169"/>
      <c r="T345" s="169"/>
      <c r="U345" s="169"/>
      <c r="V345" s="169"/>
      <c r="W345" s="169"/>
      <c r="X345" s="169"/>
      <c r="Y345" s="169"/>
      <c r="Z345" s="171"/>
      <c r="AA345" s="171"/>
      <c r="AB345" s="171"/>
      <c r="AC345" s="171"/>
      <c r="AD345" s="171"/>
      <c r="AE345" s="171"/>
      <c r="AF345" s="171"/>
      <c r="AG345" s="171" t="s">
        <v>148</v>
      </c>
      <c r="AH345" s="171">
        <v>0</v>
      </c>
      <c r="AI345" s="171"/>
      <c r="AJ345" s="171"/>
      <c r="AK345" s="171"/>
      <c r="AL345" s="171"/>
      <c r="AM345" s="171"/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  <c r="BE345" s="171"/>
      <c r="BF345" s="171"/>
      <c r="BG345" s="171"/>
      <c r="BH345" s="171"/>
    </row>
    <row r="346" spans="1:60" outlineLevel="3" x14ac:dyDescent="0.2">
      <c r="A346" s="172"/>
      <c r="B346" s="173"/>
      <c r="C346" s="174" t="s">
        <v>397</v>
      </c>
      <c r="D346" s="175"/>
      <c r="E346" s="176">
        <v>38.545000000000002</v>
      </c>
      <c r="F346" s="196"/>
      <c r="G346" s="169"/>
      <c r="H346" s="169"/>
      <c r="I346" s="169"/>
      <c r="J346" s="169"/>
      <c r="K346" s="169"/>
      <c r="L346" s="169"/>
      <c r="M346" s="169"/>
      <c r="N346" s="170"/>
      <c r="O346" s="170"/>
      <c r="P346" s="170"/>
      <c r="Q346" s="170"/>
      <c r="R346" s="169"/>
      <c r="S346" s="169"/>
      <c r="T346" s="169"/>
      <c r="U346" s="169"/>
      <c r="V346" s="169"/>
      <c r="W346" s="169"/>
      <c r="X346" s="169"/>
      <c r="Y346" s="169"/>
      <c r="Z346" s="171"/>
      <c r="AA346" s="171"/>
      <c r="AB346" s="171"/>
      <c r="AC346" s="171"/>
      <c r="AD346" s="171"/>
      <c r="AE346" s="171"/>
      <c r="AF346" s="171"/>
      <c r="AG346" s="171" t="s">
        <v>148</v>
      </c>
      <c r="AH346" s="171">
        <v>0</v>
      </c>
      <c r="AI346" s="171"/>
      <c r="AJ346" s="171"/>
      <c r="AK346" s="171"/>
      <c r="AL346" s="171"/>
      <c r="AM346" s="171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1"/>
      <c r="AY346" s="171"/>
      <c r="AZ346" s="171"/>
      <c r="BA346" s="171"/>
      <c r="BB346" s="171"/>
      <c r="BC346" s="171"/>
      <c r="BD346" s="171"/>
      <c r="BE346" s="171"/>
      <c r="BF346" s="171"/>
      <c r="BG346" s="171"/>
      <c r="BH346" s="171"/>
    </row>
    <row r="347" spans="1:60" outlineLevel="3" x14ac:dyDescent="0.2">
      <c r="A347" s="172"/>
      <c r="B347" s="173"/>
      <c r="C347" s="174" t="s">
        <v>398</v>
      </c>
      <c r="D347" s="175"/>
      <c r="E347" s="176">
        <v>34.384999999999998</v>
      </c>
      <c r="F347" s="196"/>
      <c r="G347" s="169"/>
      <c r="H347" s="169"/>
      <c r="I347" s="169"/>
      <c r="J347" s="169"/>
      <c r="K347" s="169"/>
      <c r="L347" s="169"/>
      <c r="M347" s="169"/>
      <c r="N347" s="170"/>
      <c r="O347" s="170"/>
      <c r="P347" s="170"/>
      <c r="Q347" s="170"/>
      <c r="R347" s="169"/>
      <c r="S347" s="169"/>
      <c r="T347" s="169"/>
      <c r="U347" s="169"/>
      <c r="V347" s="169"/>
      <c r="W347" s="169"/>
      <c r="X347" s="169"/>
      <c r="Y347" s="169"/>
      <c r="Z347" s="171"/>
      <c r="AA347" s="171"/>
      <c r="AB347" s="171"/>
      <c r="AC347" s="171"/>
      <c r="AD347" s="171"/>
      <c r="AE347" s="171"/>
      <c r="AF347" s="171"/>
      <c r="AG347" s="171" t="s">
        <v>148</v>
      </c>
      <c r="AH347" s="171">
        <v>0</v>
      </c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  <c r="AY347" s="171"/>
      <c r="AZ347" s="171"/>
      <c r="BA347" s="171"/>
      <c r="BB347" s="171"/>
      <c r="BC347" s="171"/>
      <c r="BD347" s="171"/>
      <c r="BE347" s="171"/>
      <c r="BF347" s="171"/>
      <c r="BG347" s="171"/>
      <c r="BH347" s="171"/>
    </row>
    <row r="348" spans="1:60" outlineLevel="3" x14ac:dyDescent="0.2">
      <c r="A348" s="172"/>
      <c r="B348" s="173"/>
      <c r="C348" s="174" t="s">
        <v>399</v>
      </c>
      <c r="D348" s="175"/>
      <c r="E348" s="176">
        <v>35.1</v>
      </c>
      <c r="F348" s="196"/>
      <c r="G348" s="169"/>
      <c r="H348" s="169"/>
      <c r="I348" s="169"/>
      <c r="J348" s="169"/>
      <c r="K348" s="169"/>
      <c r="L348" s="169"/>
      <c r="M348" s="169"/>
      <c r="N348" s="170"/>
      <c r="O348" s="170"/>
      <c r="P348" s="170"/>
      <c r="Q348" s="170"/>
      <c r="R348" s="169"/>
      <c r="S348" s="169"/>
      <c r="T348" s="169"/>
      <c r="U348" s="169"/>
      <c r="V348" s="169"/>
      <c r="W348" s="169"/>
      <c r="X348" s="169"/>
      <c r="Y348" s="169"/>
      <c r="Z348" s="171"/>
      <c r="AA348" s="171"/>
      <c r="AB348" s="171"/>
      <c r="AC348" s="171"/>
      <c r="AD348" s="171"/>
      <c r="AE348" s="171"/>
      <c r="AF348" s="171"/>
      <c r="AG348" s="171" t="s">
        <v>148</v>
      </c>
      <c r="AH348" s="171">
        <v>0</v>
      </c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  <c r="AY348" s="171"/>
      <c r="AZ348" s="171"/>
      <c r="BA348" s="171"/>
      <c r="BB348" s="171"/>
      <c r="BC348" s="171"/>
      <c r="BD348" s="171"/>
      <c r="BE348" s="171"/>
      <c r="BF348" s="171"/>
      <c r="BG348" s="171"/>
      <c r="BH348" s="171"/>
    </row>
    <row r="349" spans="1:60" outlineLevel="3" x14ac:dyDescent="0.2">
      <c r="A349" s="172"/>
      <c r="B349" s="173"/>
      <c r="C349" s="174" t="s">
        <v>400</v>
      </c>
      <c r="D349" s="175"/>
      <c r="E349" s="176">
        <v>14.234999999999999</v>
      </c>
      <c r="F349" s="196"/>
      <c r="G349" s="169"/>
      <c r="H349" s="169"/>
      <c r="I349" s="169"/>
      <c r="J349" s="169"/>
      <c r="K349" s="169"/>
      <c r="L349" s="169"/>
      <c r="M349" s="169"/>
      <c r="N349" s="170"/>
      <c r="O349" s="170"/>
      <c r="P349" s="170"/>
      <c r="Q349" s="170"/>
      <c r="R349" s="169"/>
      <c r="S349" s="169"/>
      <c r="T349" s="169"/>
      <c r="U349" s="169"/>
      <c r="V349" s="169"/>
      <c r="W349" s="169"/>
      <c r="X349" s="169"/>
      <c r="Y349" s="169"/>
      <c r="Z349" s="171"/>
      <c r="AA349" s="171"/>
      <c r="AB349" s="171"/>
      <c r="AC349" s="171"/>
      <c r="AD349" s="171"/>
      <c r="AE349" s="171"/>
      <c r="AF349" s="171"/>
      <c r="AG349" s="171" t="s">
        <v>148</v>
      </c>
      <c r="AH349" s="171">
        <v>0</v>
      </c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</row>
    <row r="350" spans="1:60" outlineLevel="3" x14ac:dyDescent="0.2">
      <c r="A350" s="172"/>
      <c r="B350" s="173"/>
      <c r="C350" s="174" t="s">
        <v>401</v>
      </c>
      <c r="D350" s="175"/>
      <c r="E350" s="176">
        <v>12.35</v>
      </c>
      <c r="F350" s="196"/>
      <c r="G350" s="169"/>
      <c r="H350" s="169"/>
      <c r="I350" s="169"/>
      <c r="J350" s="169"/>
      <c r="K350" s="169"/>
      <c r="L350" s="169"/>
      <c r="M350" s="169"/>
      <c r="N350" s="170"/>
      <c r="O350" s="170"/>
      <c r="P350" s="170"/>
      <c r="Q350" s="170"/>
      <c r="R350" s="169"/>
      <c r="S350" s="169"/>
      <c r="T350" s="169"/>
      <c r="U350" s="169"/>
      <c r="V350" s="169"/>
      <c r="W350" s="169"/>
      <c r="X350" s="169"/>
      <c r="Y350" s="169"/>
      <c r="Z350" s="171"/>
      <c r="AA350" s="171"/>
      <c r="AB350" s="171"/>
      <c r="AC350" s="171"/>
      <c r="AD350" s="171"/>
      <c r="AE350" s="171"/>
      <c r="AF350" s="171"/>
      <c r="AG350" s="171" t="s">
        <v>148</v>
      </c>
      <c r="AH350" s="171">
        <v>0</v>
      </c>
      <c r="AI350" s="171"/>
      <c r="AJ350" s="171"/>
      <c r="AK350" s="171"/>
      <c r="AL350" s="171"/>
      <c r="AM350" s="171"/>
      <c r="AN350" s="171"/>
      <c r="AO350" s="171"/>
      <c r="AP350" s="171"/>
      <c r="AQ350" s="171"/>
      <c r="AR350" s="171"/>
      <c r="AS350" s="171"/>
      <c r="AT350" s="171"/>
      <c r="AU350" s="171"/>
      <c r="AV350" s="171"/>
      <c r="AW350" s="171"/>
      <c r="AX350" s="171"/>
      <c r="AY350" s="171"/>
      <c r="AZ350" s="171"/>
      <c r="BA350" s="171"/>
      <c r="BB350" s="171"/>
      <c r="BC350" s="171"/>
      <c r="BD350" s="171"/>
      <c r="BE350" s="171"/>
      <c r="BF350" s="171"/>
      <c r="BG350" s="171"/>
      <c r="BH350" s="171"/>
    </row>
    <row r="351" spans="1:60" outlineLevel="3" x14ac:dyDescent="0.2">
      <c r="A351" s="172"/>
      <c r="B351" s="173"/>
      <c r="C351" s="174" t="s">
        <v>402</v>
      </c>
      <c r="D351" s="175"/>
      <c r="E351" s="176">
        <v>18.135000000000002</v>
      </c>
      <c r="F351" s="196"/>
      <c r="G351" s="169"/>
      <c r="H351" s="169"/>
      <c r="I351" s="169"/>
      <c r="J351" s="169"/>
      <c r="K351" s="169"/>
      <c r="L351" s="169"/>
      <c r="M351" s="169"/>
      <c r="N351" s="170"/>
      <c r="O351" s="170"/>
      <c r="P351" s="170"/>
      <c r="Q351" s="170"/>
      <c r="R351" s="169"/>
      <c r="S351" s="169"/>
      <c r="T351" s="169"/>
      <c r="U351" s="169"/>
      <c r="V351" s="169"/>
      <c r="W351" s="169"/>
      <c r="X351" s="169"/>
      <c r="Y351" s="169"/>
      <c r="Z351" s="171"/>
      <c r="AA351" s="171"/>
      <c r="AB351" s="171"/>
      <c r="AC351" s="171"/>
      <c r="AD351" s="171"/>
      <c r="AE351" s="171"/>
      <c r="AF351" s="171"/>
      <c r="AG351" s="171" t="s">
        <v>148</v>
      </c>
      <c r="AH351" s="171">
        <v>0</v>
      </c>
      <c r="AI351" s="171"/>
      <c r="AJ351" s="171"/>
      <c r="AK351" s="171"/>
      <c r="AL351" s="171"/>
      <c r="AM351" s="171"/>
      <c r="AN351" s="171"/>
      <c r="AO351" s="171"/>
      <c r="AP351" s="171"/>
      <c r="AQ351" s="171"/>
      <c r="AR351" s="171"/>
      <c r="AS351" s="171"/>
      <c r="AT351" s="171"/>
      <c r="AU351" s="171"/>
      <c r="AV351" s="171"/>
      <c r="AW351" s="171"/>
      <c r="AX351" s="171"/>
      <c r="AY351" s="171"/>
      <c r="AZ351" s="171"/>
      <c r="BA351" s="171"/>
      <c r="BB351" s="171"/>
      <c r="BC351" s="171"/>
      <c r="BD351" s="171"/>
      <c r="BE351" s="171"/>
      <c r="BF351" s="171"/>
      <c r="BG351" s="171"/>
      <c r="BH351" s="171"/>
    </row>
    <row r="352" spans="1:60" outlineLevel="3" x14ac:dyDescent="0.2">
      <c r="A352" s="172"/>
      <c r="B352" s="173"/>
      <c r="C352" s="174" t="s">
        <v>403</v>
      </c>
      <c r="D352" s="175"/>
      <c r="E352" s="176">
        <v>15.015000000000001</v>
      </c>
      <c r="F352" s="196"/>
      <c r="G352" s="169"/>
      <c r="H352" s="169"/>
      <c r="I352" s="169"/>
      <c r="J352" s="169"/>
      <c r="K352" s="169"/>
      <c r="L352" s="169"/>
      <c r="M352" s="169"/>
      <c r="N352" s="170"/>
      <c r="O352" s="170"/>
      <c r="P352" s="170"/>
      <c r="Q352" s="170"/>
      <c r="R352" s="169"/>
      <c r="S352" s="169"/>
      <c r="T352" s="169"/>
      <c r="U352" s="169"/>
      <c r="V352" s="169"/>
      <c r="W352" s="169"/>
      <c r="X352" s="169"/>
      <c r="Y352" s="169"/>
      <c r="Z352" s="171"/>
      <c r="AA352" s="171"/>
      <c r="AB352" s="171"/>
      <c r="AC352" s="171"/>
      <c r="AD352" s="171"/>
      <c r="AE352" s="171"/>
      <c r="AF352" s="171"/>
      <c r="AG352" s="171" t="s">
        <v>148</v>
      </c>
      <c r="AH352" s="171">
        <v>0</v>
      </c>
      <c r="AI352" s="171"/>
      <c r="AJ352" s="171"/>
      <c r="AK352" s="171"/>
      <c r="AL352" s="171"/>
      <c r="AM352" s="171"/>
      <c r="AN352" s="171"/>
      <c r="AO352" s="171"/>
      <c r="AP352" s="171"/>
      <c r="AQ352" s="17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71"/>
      <c r="BB352" s="171"/>
      <c r="BC352" s="171"/>
      <c r="BD352" s="171"/>
      <c r="BE352" s="171"/>
      <c r="BF352" s="171"/>
      <c r="BG352" s="171"/>
      <c r="BH352" s="171"/>
    </row>
    <row r="353" spans="1:60" outlineLevel="3" x14ac:dyDescent="0.2">
      <c r="A353" s="172"/>
      <c r="B353" s="173"/>
      <c r="C353" s="174" t="s">
        <v>152</v>
      </c>
      <c r="D353" s="175"/>
      <c r="E353" s="176"/>
      <c r="F353" s="196"/>
      <c r="G353" s="169"/>
      <c r="H353" s="169"/>
      <c r="I353" s="169"/>
      <c r="J353" s="169"/>
      <c r="K353" s="169"/>
      <c r="L353" s="169"/>
      <c r="M353" s="169"/>
      <c r="N353" s="170"/>
      <c r="O353" s="170"/>
      <c r="P353" s="170"/>
      <c r="Q353" s="170"/>
      <c r="R353" s="169"/>
      <c r="S353" s="169"/>
      <c r="T353" s="169"/>
      <c r="U353" s="169"/>
      <c r="V353" s="169"/>
      <c r="W353" s="169"/>
      <c r="X353" s="169"/>
      <c r="Y353" s="169"/>
      <c r="Z353" s="171"/>
      <c r="AA353" s="171"/>
      <c r="AB353" s="171"/>
      <c r="AC353" s="171"/>
      <c r="AD353" s="171"/>
      <c r="AE353" s="171"/>
      <c r="AF353" s="171"/>
      <c r="AG353" s="171" t="s">
        <v>148</v>
      </c>
      <c r="AH353" s="171">
        <v>0</v>
      </c>
      <c r="AI353" s="171"/>
      <c r="AJ353" s="171"/>
      <c r="AK353" s="171"/>
      <c r="AL353" s="171"/>
      <c r="AM353" s="171"/>
      <c r="AN353" s="171"/>
      <c r="AO353" s="171"/>
      <c r="AP353" s="171"/>
      <c r="AQ353" s="171"/>
      <c r="AR353" s="171"/>
      <c r="AS353" s="171"/>
      <c r="AT353" s="171"/>
      <c r="AU353" s="171"/>
      <c r="AV353" s="171"/>
      <c r="AW353" s="171"/>
      <c r="AX353" s="171"/>
      <c r="AY353" s="171"/>
      <c r="AZ353" s="171"/>
      <c r="BA353" s="171"/>
      <c r="BB353" s="171"/>
      <c r="BC353" s="171"/>
      <c r="BD353" s="171"/>
      <c r="BE353" s="171"/>
      <c r="BF353" s="171"/>
      <c r="BG353" s="171"/>
      <c r="BH353" s="171"/>
    </row>
    <row r="354" spans="1:60" outlineLevel="3" x14ac:dyDescent="0.2">
      <c r="A354" s="172"/>
      <c r="B354" s="173"/>
      <c r="C354" s="174" t="s">
        <v>394</v>
      </c>
      <c r="D354" s="175"/>
      <c r="E354" s="176">
        <v>44.265000000000001</v>
      </c>
      <c r="F354" s="196"/>
      <c r="G354" s="169"/>
      <c r="H354" s="169"/>
      <c r="I354" s="169"/>
      <c r="J354" s="169"/>
      <c r="K354" s="169"/>
      <c r="L354" s="169"/>
      <c r="M354" s="169"/>
      <c r="N354" s="170"/>
      <c r="O354" s="170"/>
      <c r="P354" s="170"/>
      <c r="Q354" s="170"/>
      <c r="R354" s="169"/>
      <c r="S354" s="169"/>
      <c r="T354" s="169"/>
      <c r="U354" s="169"/>
      <c r="V354" s="169"/>
      <c r="W354" s="169"/>
      <c r="X354" s="169"/>
      <c r="Y354" s="169"/>
      <c r="Z354" s="171"/>
      <c r="AA354" s="171"/>
      <c r="AB354" s="171"/>
      <c r="AC354" s="171"/>
      <c r="AD354" s="171"/>
      <c r="AE354" s="171"/>
      <c r="AF354" s="171"/>
      <c r="AG354" s="171" t="s">
        <v>148</v>
      </c>
      <c r="AH354" s="171">
        <v>0</v>
      </c>
      <c r="AI354" s="171"/>
      <c r="AJ354" s="171"/>
      <c r="AK354" s="171"/>
      <c r="AL354" s="171"/>
      <c r="AM354" s="171"/>
      <c r="AN354" s="171"/>
      <c r="AO354" s="171"/>
      <c r="AP354" s="171"/>
      <c r="AQ354" s="171"/>
      <c r="AR354" s="171"/>
      <c r="AS354" s="171"/>
      <c r="AT354" s="171"/>
      <c r="AU354" s="171"/>
      <c r="AV354" s="171"/>
      <c r="AW354" s="171"/>
      <c r="AX354" s="171"/>
      <c r="AY354" s="171"/>
      <c r="AZ354" s="171"/>
      <c r="BA354" s="171"/>
      <c r="BB354" s="171"/>
      <c r="BC354" s="171"/>
      <c r="BD354" s="171"/>
      <c r="BE354" s="171"/>
      <c r="BF354" s="171"/>
      <c r="BG354" s="171"/>
      <c r="BH354" s="171"/>
    </row>
    <row r="355" spans="1:60" outlineLevel="3" x14ac:dyDescent="0.2">
      <c r="A355" s="172"/>
      <c r="B355" s="173"/>
      <c r="C355" s="174" t="s">
        <v>404</v>
      </c>
      <c r="D355" s="175"/>
      <c r="E355" s="176">
        <v>37.83</v>
      </c>
      <c r="F355" s="196"/>
      <c r="G355" s="169"/>
      <c r="H355" s="169"/>
      <c r="I355" s="169"/>
      <c r="J355" s="169"/>
      <c r="K355" s="169"/>
      <c r="L355" s="169"/>
      <c r="M355" s="169"/>
      <c r="N355" s="170"/>
      <c r="O355" s="170"/>
      <c r="P355" s="170"/>
      <c r="Q355" s="170"/>
      <c r="R355" s="169"/>
      <c r="S355" s="169"/>
      <c r="T355" s="169"/>
      <c r="U355" s="169"/>
      <c r="V355" s="169"/>
      <c r="W355" s="169"/>
      <c r="X355" s="169"/>
      <c r="Y355" s="169"/>
      <c r="Z355" s="171"/>
      <c r="AA355" s="171"/>
      <c r="AB355" s="171"/>
      <c r="AC355" s="171"/>
      <c r="AD355" s="171"/>
      <c r="AE355" s="171"/>
      <c r="AF355" s="171"/>
      <c r="AG355" s="171" t="s">
        <v>148</v>
      </c>
      <c r="AH355" s="171">
        <v>0</v>
      </c>
      <c r="AI355" s="171"/>
      <c r="AJ355" s="171"/>
      <c r="AK355" s="171"/>
      <c r="AL355" s="171"/>
      <c r="AM355" s="171"/>
      <c r="AN355" s="171"/>
      <c r="AO355" s="171"/>
      <c r="AP355" s="171"/>
      <c r="AQ355" s="171"/>
      <c r="AR355" s="171"/>
      <c r="AS355" s="171"/>
      <c r="AT355" s="171"/>
      <c r="AU355" s="171"/>
      <c r="AV355" s="171"/>
      <c r="AW355" s="171"/>
      <c r="AX355" s="171"/>
      <c r="AY355" s="171"/>
      <c r="AZ355" s="171"/>
      <c r="BA355" s="171"/>
      <c r="BB355" s="171"/>
      <c r="BC355" s="171"/>
      <c r="BD355" s="171"/>
      <c r="BE355" s="171"/>
      <c r="BF355" s="171"/>
      <c r="BG355" s="171"/>
      <c r="BH355" s="171"/>
    </row>
    <row r="356" spans="1:60" outlineLevel="3" x14ac:dyDescent="0.2">
      <c r="A356" s="172"/>
      <c r="B356" s="173"/>
      <c r="C356" s="174" t="s">
        <v>405</v>
      </c>
      <c r="D356" s="175"/>
      <c r="E356" s="176">
        <v>23.01</v>
      </c>
      <c r="F356" s="196"/>
      <c r="G356" s="169"/>
      <c r="H356" s="169"/>
      <c r="I356" s="169"/>
      <c r="J356" s="169"/>
      <c r="K356" s="169"/>
      <c r="L356" s="169"/>
      <c r="M356" s="169"/>
      <c r="N356" s="170"/>
      <c r="O356" s="170"/>
      <c r="P356" s="170"/>
      <c r="Q356" s="170"/>
      <c r="R356" s="169"/>
      <c r="S356" s="169"/>
      <c r="T356" s="169"/>
      <c r="U356" s="169"/>
      <c r="V356" s="169"/>
      <c r="W356" s="169"/>
      <c r="X356" s="169"/>
      <c r="Y356" s="169"/>
      <c r="Z356" s="171"/>
      <c r="AA356" s="171"/>
      <c r="AB356" s="171"/>
      <c r="AC356" s="171"/>
      <c r="AD356" s="171"/>
      <c r="AE356" s="171"/>
      <c r="AF356" s="171"/>
      <c r="AG356" s="171" t="s">
        <v>148</v>
      </c>
      <c r="AH356" s="171">
        <v>0</v>
      </c>
      <c r="AI356" s="171"/>
      <c r="AJ356" s="171"/>
      <c r="AK356" s="171"/>
      <c r="AL356" s="171"/>
      <c r="AM356" s="171"/>
      <c r="AN356" s="171"/>
      <c r="AO356" s="171"/>
      <c r="AP356" s="171"/>
      <c r="AQ356" s="171"/>
      <c r="AR356" s="171"/>
      <c r="AS356" s="171"/>
      <c r="AT356" s="171"/>
      <c r="AU356" s="171"/>
      <c r="AV356" s="171"/>
      <c r="AW356" s="171"/>
      <c r="AX356" s="171"/>
      <c r="AY356" s="171"/>
      <c r="AZ356" s="171"/>
      <c r="BA356" s="171"/>
      <c r="BB356" s="171"/>
      <c r="BC356" s="171"/>
      <c r="BD356" s="171"/>
      <c r="BE356" s="171"/>
      <c r="BF356" s="171"/>
      <c r="BG356" s="171"/>
      <c r="BH356" s="171"/>
    </row>
    <row r="357" spans="1:60" outlineLevel="3" x14ac:dyDescent="0.2">
      <c r="A357" s="172"/>
      <c r="B357" s="173"/>
      <c r="C357" s="174" t="s">
        <v>406</v>
      </c>
      <c r="D357" s="175"/>
      <c r="E357" s="176">
        <v>38.090000000000003</v>
      </c>
      <c r="F357" s="196"/>
      <c r="G357" s="169"/>
      <c r="H357" s="169"/>
      <c r="I357" s="169"/>
      <c r="J357" s="169"/>
      <c r="K357" s="169"/>
      <c r="L357" s="169"/>
      <c r="M357" s="169"/>
      <c r="N357" s="170"/>
      <c r="O357" s="170"/>
      <c r="P357" s="170"/>
      <c r="Q357" s="170"/>
      <c r="R357" s="169"/>
      <c r="S357" s="169"/>
      <c r="T357" s="169"/>
      <c r="U357" s="169"/>
      <c r="V357" s="169"/>
      <c r="W357" s="169"/>
      <c r="X357" s="169"/>
      <c r="Y357" s="169"/>
      <c r="Z357" s="171"/>
      <c r="AA357" s="171"/>
      <c r="AB357" s="171"/>
      <c r="AC357" s="171"/>
      <c r="AD357" s="171"/>
      <c r="AE357" s="171"/>
      <c r="AF357" s="171"/>
      <c r="AG357" s="171" t="s">
        <v>148</v>
      </c>
      <c r="AH357" s="171">
        <v>0</v>
      </c>
      <c r="AI357" s="171"/>
      <c r="AJ357" s="171"/>
      <c r="AK357" s="171"/>
      <c r="AL357" s="171"/>
      <c r="AM357" s="171"/>
      <c r="AN357" s="171"/>
      <c r="AO357" s="171"/>
      <c r="AP357" s="171"/>
      <c r="AQ357" s="171"/>
      <c r="AR357" s="171"/>
      <c r="AS357" s="171"/>
      <c r="AT357" s="171"/>
      <c r="AU357" s="171"/>
      <c r="AV357" s="171"/>
      <c r="AW357" s="171"/>
      <c r="AX357" s="171"/>
      <c r="AY357" s="171"/>
      <c r="AZ357" s="171"/>
      <c r="BA357" s="171"/>
      <c r="BB357" s="171"/>
      <c r="BC357" s="171"/>
      <c r="BD357" s="171"/>
      <c r="BE357" s="171"/>
      <c r="BF357" s="171"/>
      <c r="BG357" s="171"/>
      <c r="BH357" s="171"/>
    </row>
    <row r="358" spans="1:60" outlineLevel="3" x14ac:dyDescent="0.2">
      <c r="A358" s="172"/>
      <c r="B358" s="173"/>
      <c r="C358" s="174" t="s">
        <v>407</v>
      </c>
      <c r="D358" s="175"/>
      <c r="E358" s="176">
        <v>35.164999999999999</v>
      </c>
      <c r="F358" s="196"/>
      <c r="G358" s="169"/>
      <c r="H358" s="169"/>
      <c r="I358" s="169"/>
      <c r="J358" s="169"/>
      <c r="K358" s="169"/>
      <c r="L358" s="169"/>
      <c r="M358" s="169"/>
      <c r="N358" s="170"/>
      <c r="O358" s="170"/>
      <c r="P358" s="170"/>
      <c r="Q358" s="170"/>
      <c r="R358" s="169"/>
      <c r="S358" s="169"/>
      <c r="T358" s="169"/>
      <c r="U358" s="169"/>
      <c r="V358" s="169"/>
      <c r="W358" s="169"/>
      <c r="X358" s="169"/>
      <c r="Y358" s="169"/>
      <c r="Z358" s="171"/>
      <c r="AA358" s="171"/>
      <c r="AB358" s="171"/>
      <c r="AC358" s="171"/>
      <c r="AD358" s="171"/>
      <c r="AE358" s="171"/>
      <c r="AF358" s="171"/>
      <c r="AG358" s="171" t="s">
        <v>148</v>
      </c>
      <c r="AH358" s="171">
        <v>0</v>
      </c>
      <c r="AI358" s="171"/>
      <c r="AJ358" s="171"/>
      <c r="AK358" s="171"/>
      <c r="AL358" s="171"/>
      <c r="AM358" s="171"/>
      <c r="AN358" s="171"/>
      <c r="AO358" s="171"/>
      <c r="AP358" s="171"/>
      <c r="AQ358" s="171"/>
      <c r="AR358" s="171"/>
      <c r="AS358" s="171"/>
      <c r="AT358" s="171"/>
      <c r="AU358" s="171"/>
      <c r="AV358" s="171"/>
      <c r="AW358" s="171"/>
      <c r="AX358" s="171"/>
      <c r="AY358" s="171"/>
      <c r="AZ358" s="171"/>
      <c r="BA358" s="171"/>
      <c r="BB358" s="171"/>
      <c r="BC358" s="171"/>
      <c r="BD358" s="171"/>
      <c r="BE358" s="171"/>
      <c r="BF358" s="171"/>
      <c r="BG358" s="171"/>
      <c r="BH358" s="171"/>
    </row>
    <row r="359" spans="1:60" outlineLevel="3" x14ac:dyDescent="0.2">
      <c r="A359" s="172"/>
      <c r="B359" s="173"/>
      <c r="C359" s="174" t="s">
        <v>408</v>
      </c>
      <c r="D359" s="175"/>
      <c r="E359" s="176">
        <v>34.384999999999998</v>
      </c>
      <c r="F359" s="196"/>
      <c r="G359" s="169"/>
      <c r="H359" s="169"/>
      <c r="I359" s="169"/>
      <c r="J359" s="169"/>
      <c r="K359" s="169"/>
      <c r="L359" s="169"/>
      <c r="M359" s="169"/>
      <c r="N359" s="170"/>
      <c r="O359" s="170"/>
      <c r="P359" s="170"/>
      <c r="Q359" s="170"/>
      <c r="R359" s="169"/>
      <c r="S359" s="169"/>
      <c r="T359" s="169"/>
      <c r="U359" s="169"/>
      <c r="V359" s="169"/>
      <c r="W359" s="169"/>
      <c r="X359" s="169"/>
      <c r="Y359" s="169"/>
      <c r="Z359" s="171"/>
      <c r="AA359" s="171"/>
      <c r="AB359" s="171"/>
      <c r="AC359" s="171"/>
      <c r="AD359" s="171"/>
      <c r="AE359" s="171"/>
      <c r="AF359" s="171"/>
      <c r="AG359" s="171" t="s">
        <v>148</v>
      </c>
      <c r="AH359" s="171">
        <v>0</v>
      </c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1"/>
      <c r="AY359" s="171"/>
      <c r="AZ359" s="171"/>
      <c r="BA359" s="171"/>
      <c r="BB359" s="171"/>
      <c r="BC359" s="171"/>
      <c r="BD359" s="171"/>
      <c r="BE359" s="171"/>
      <c r="BF359" s="171"/>
      <c r="BG359" s="171"/>
      <c r="BH359" s="171"/>
    </row>
    <row r="360" spans="1:60" outlineLevel="3" x14ac:dyDescent="0.2">
      <c r="A360" s="172"/>
      <c r="B360" s="173"/>
      <c r="C360" s="174" t="s">
        <v>409</v>
      </c>
      <c r="D360" s="175"/>
      <c r="E360" s="176">
        <v>14.95</v>
      </c>
      <c r="F360" s="196"/>
      <c r="G360" s="169"/>
      <c r="H360" s="169"/>
      <c r="I360" s="169"/>
      <c r="J360" s="169"/>
      <c r="K360" s="169"/>
      <c r="L360" s="169"/>
      <c r="M360" s="169"/>
      <c r="N360" s="170"/>
      <c r="O360" s="170"/>
      <c r="P360" s="170"/>
      <c r="Q360" s="170"/>
      <c r="R360" s="169"/>
      <c r="S360" s="169"/>
      <c r="T360" s="169"/>
      <c r="U360" s="169"/>
      <c r="V360" s="169"/>
      <c r="W360" s="169"/>
      <c r="X360" s="169"/>
      <c r="Y360" s="169"/>
      <c r="Z360" s="171"/>
      <c r="AA360" s="171"/>
      <c r="AB360" s="171"/>
      <c r="AC360" s="171"/>
      <c r="AD360" s="171"/>
      <c r="AE360" s="171"/>
      <c r="AF360" s="171"/>
      <c r="AG360" s="171" t="s">
        <v>148</v>
      </c>
      <c r="AH360" s="171">
        <v>0</v>
      </c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  <c r="BE360" s="171"/>
      <c r="BF360" s="171"/>
      <c r="BG360" s="171"/>
      <c r="BH360" s="171"/>
    </row>
    <row r="361" spans="1:60" outlineLevel="3" x14ac:dyDescent="0.2">
      <c r="A361" s="172"/>
      <c r="B361" s="173"/>
      <c r="C361" s="174" t="s">
        <v>410</v>
      </c>
      <c r="D361" s="175"/>
      <c r="E361" s="176">
        <v>11.96</v>
      </c>
      <c r="F361" s="196"/>
      <c r="G361" s="169"/>
      <c r="H361" s="169"/>
      <c r="I361" s="169"/>
      <c r="J361" s="169"/>
      <c r="K361" s="169"/>
      <c r="L361" s="169"/>
      <c r="M361" s="169"/>
      <c r="N361" s="170"/>
      <c r="O361" s="170"/>
      <c r="P361" s="170"/>
      <c r="Q361" s="170"/>
      <c r="R361" s="169"/>
      <c r="S361" s="169"/>
      <c r="T361" s="169"/>
      <c r="U361" s="169"/>
      <c r="V361" s="169"/>
      <c r="W361" s="169"/>
      <c r="X361" s="169"/>
      <c r="Y361" s="169"/>
      <c r="Z361" s="171"/>
      <c r="AA361" s="171"/>
      <c r="AB361" s="171"/>
      <c r="AC361" s="171"/>
      <c r="AD361" s="171"/>
      <c r="AE361" s="171"/>
      <c r="AF361" s="171"/>
      <c r="AG361" s="171" t="s">
        <v>148</v>
      </c>
      <c r="AH361" s="171">
        <v>0</v>
      </c>
      <c r="AI361" s="171"/>
      <c r="AJ361" s="171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71"/>
      <c r="BB361" s="171"/>
      <c r="BC361" s="171"/>
      <c r="BD361" s="171"/>
      <c r="BE361" s="171"/>
      <c r="BF361" s="171"/>
      <c r="BG361" s="171"/>
      <c r="BH361" s="171"/>
    </row>
    <row r="362" spans="1:60" outlineLevel="3" x14ac:dyDescent="0.2">
      <c r="A362" s="172"/>
      <c r="B362" s="173"/>
      <c r="C362" s="174" t="s">
        <v>411</v>
      </c>
      <c r="D362" s="175"/>
      <c r="E362" s="176">
        <v>18.329999999999998</v>
      </c>
      <c r="F362" s="196"/>
      <c r="G362" s="169"/>
      <c r="H362" s="169"/>
      <c r="I362" s="169"/>
      <c r="J362" s="169"/>
      <c r="K362" s="169"/>
      <c r="L362" s="169"/>
      <c r="M362" s="169"/>
      <c r="N362" s="170"/>
      <c r="O362" s="170"/>
      <c r="P362" s="170"/>
      <c r="Q362" s="170"/>
      <c r="R362" s="169"/>
      <c r="S362" s="169"/>
      <c r="T362" s="169"/>
      <c r="U362" s="169"/>
      <c r="V362" s="169"/>
      <c r="W362" s="169"/>
      <c r="X362" s="169"/>
      <c r="Y362" s="169"/>
      <c r="Z362" s="171"/>
      <c r="AA362" s="171"/>
      <c r="AB362" s="171"/>
      <c r="AC362" s="171"/>
      <c r="AD362" s="171"/>
      <c r="AE362" s="171"/>
      <c r="AF362" s="171"/>
      <c r="AG362" s="171" t="s">
        <v>148</v>
      </c>
      <c r="AH362" s="171">
        <v>0</v>
      </c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</row>
    <row r="363" spans="1:60" outlineLevel="3" x14ac:dyDescent="0.2">
      <c r="A363" s="172"/>
      <c r="B363" s="173"/>
      <c r="C363" s="174" t="s">
        <v>412</v>
      </c>
      <c r="D363" s="175"/>
      <c r="E363" s="176">
        <v>14.494999999999999</v>
      </c>
      <c r="F363" s="196"/>
      <c r="G363" s="169"/>
      <c r="H363" s="169"/>
      <c r="I363" s="169"/>
      <c r="J363" s="169"/>
      <c r="K363" s="169"/>
      <c r="L363" s="169"/>
      <c r="M363" s="169"/>
      <c r="N363" s="170"/>
      <c r="O363" s="170"/>
      <c r="P363" s="170"/>
      <c r="Q363" s="170"/>
      <c r="R363" s="169"/>
      <c r="S363" s="169"/>
      <c r="T363" s="169"/>
      <c r="U363" s="169"/>
      <c r="V363" s="169"/>
      <c r="W363" s="169"/>
      <c r="X363" s="169"/>
      <c r="Y363" s="169"/>
      <c r="Z363" s="171"/>
      <c r="AA363" s="171"/>
      <c r="AB363" s="171"/>
      <c r="AC363" s="171"/>
      <c r="AD363" s="171"/>
      <c r="AE363" s="171"/>
      <c r="AF363" s="171"/>
      <c r="AG363" s="171" t="s">
        <v>148</v>
      </c>
      <c r="AH363" s="171">
        <v>0</v>
      </c>
      <c r="AI363" s="171"/>
      <c r="AJ363" s="171"/>
      <c r="AK363" s="171"/>
      <c r="AL363" s="171"/>
      <c r="AM363" s="171"/>
      <c r="AN363" s="171"/>
      <c r="AO363" s="171"/>
      <c r="AP363" s="171"/>
      <c r="AQ363" s="171"/>
      <c r="AR363" s="171"/>
      <c r="AS363" s="171"/>
      <c r="AT363" s="171"/>
      <c r="AU363" s="171"/>
      <c r="AV363" s="171"/>
      <c r="AW363" s="171"/>
      <c r="AX363" s="171"/>
      <c r="AY363" s="171"/>
      <c r="AZ363" s="171"/>
      <c r="BA363" s="171"/>
      <c r="BB363" s="171"/>
      <c r="BC363" s="171"/>
      <c r="BD363" s="171"/>
      <c r="BE363" s="171"/>
      <c r="BF363" s="171"/>
      <c r="BG363" s="171"/>
      <c r="BH363" s="171"/>
    </row>
    <row r="364" spans="1:60" outlineLevel="3" x14ac:dyDescent="0.2">
      <c r="A364" s="172"/>
      <c r="B364" s="173"/>
      <c r="C364" s="183" t="s">
        <v>269</v>
      </c>
      <c r="D364" s="184"/>
      <c r="E364" s="185">
        <v>815.75</v>
      </c>
      <c r="F364" s="196"/>
      <c r="G364" s="169"/>
      <c r="H364" s="169"/>
      <c r="I364" s="169"/>
      <c r="J364" s="169"/>
      <c r="K364" s="169"/>
      <c r="L364" s="169"/>
      <c r="M364" s="169"/>
      <c r="N364" s="170"/>
      <c r="O364" s="170"/>
      <c r="P364" s="170"/>
      <c r="Q364" s="170"/>
      <c r="R364" s="169"/>
      <c r="S364" s="169"/>
      <c r="T364" s="169"/>
      <c r="U364" s="169"/>
      <c r="V364" s="169"/>
      <c r="W364" s="169"/>
      <c r="X364" s="169"/>
      <c r="Y364" s="169"/>
      <c r="Z364" s="171"/>
      <c r="AA364" s="171"/>
      <c r="AB364" s="171"/>
      <c r="AC364" s="171"/>
      <c r="AD364" s="171"/>
      <c r="AE364" s="171"/>
      <c r="AF364" s="171"/>
      <c r="AG364" s="171" t="s">
        <v>148</v>
      </c>
      <c r="AH364" s="171">
        <v>1</v>
      </c>
      <c r="AI364" s="171"/>
      <c r="AJ364" s="171"/>
      <c r="AK364" s="171"/>
      <c r="AL364" s="171"/>
      <c r="AM364" s="171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1"/>
      <c r="AY364" s="171"/>
      <c r="AZ364" s="171"/>
      <c r="BA364" s="171"/>
      <c r="BB364" s="171"/>
      <c r="BC364" s="171"/>
      <c r="BD364" s="171"/>
      <c r="BE364" s="171"/>
      <c r="BF364" s="171"/>
      <c r="BG364" s="171"/>
      <c r="BH364" s="171"/>
    </row>
    <row r="365" spans="1:60" outlineLevel="3" x14ac:dyDescent="0.2">
      <c r="A365" s="172"/>
      <c r="B365" s="173"/>
      <c r="C365" s="174" t="s">
        <v>413</v>
      </c>
      <c r="D365" s="175"/>
      <c r="E365" s="176"/>
      <c r="F365" s="196"/>
      <c r="G365" s="169"/>
      <c r="H365" s="169"/>
      <c r="I365" s="169"/>
      <c r="J365" s="169"/>
      <c r="K365" s="169"/>
      <c r="L365" s="169"/>
      <c r="M365" s="169"/>
      <c r="N365" s="170"/>
      <c r="O365" s="170"/>
      <c r="P365" s="170"/>
      <c r="Q365" s="170"/>
      <c r="R365" s="169"/>
      <c r="S365" s="169"/>
      <c r="T365" s="169"/>
      <c r="U365" s="169"/>
      <c r="V365" s="169"/>
      <c r="W365" s="169"/>
      <c r="X365" s="169"/>
      <c r="Y365" s="169"/>
      <c r="Z365" s="171"/>
      <c r="AA365" s="171"/>
      <c r="AB365" s="171"/>
      <c r="AC365" s="171"/>
      <c r="AD365" s="171"/>
      <c r="AE365" s="171"/>
      <c r="AF365" s="171"/>
      <c r="AG365" s="171" t="s">
        <v>148</v>
      </c>
      <c r="AH365" s="171">
        <v>0</v>
      </c>
      <c r="AI365" s="171"/>
      <c r="AJ365" s="171"/>
      <c r="AK365" s="171"/>
      <c r="AL365" s="171"/>
      <c r="AM365" s="171"/>
      <c r="AN365" s="171"/>
      <c r="AO365" s="171"/>
      <c r="AP365" s="171"/>
      <c r="AQ365" s="171"/>
      <c r="AR365" s="171"/>
      <c r="AS365" s="171"/>
      <c r="AT365" s="171"/>
      <c r="AU365" s="171"/>
      <c r="AV365" s="171"/>
      <c r="AW365" s="171"/>
      <c r="AX365" s="171"/>
      <c r="AY365" s="171"/>
      <c r="AZ365" s="171"/>
      <c r="BA365" s="171"/>
      <c r="BB365" s="171"/>
      <c r="BC365" s="171"/>
      <c r="BD365" s="171"/>
      <c r="BE365" s="171"/>
      <c r="BF365" s="171"/>
      <c r="BG365" s="171"/>
      <c r="BH365" s="171"/>
    </row>
    <row r="366" spans="1:60" outlineLevel="3" x14ac:dyDescent="0.2">
      <c r="A366" s="172"/>
      <c r="B366" s="173"/>
      <c r="C366" s="174" t="s">
        <v>414</v>
      </c>
      <c r="D366" s="175"/>
      <c r="E366" s="176">
        <v>-185.85079999999999</v>
      </c>
      <c r="F366" s="196"/>
      <c r="G366" s="169"/>
      <c r="H366" s="169"/>
      <c r="I366" s="169"/>
      <c r="J366" s="169"/>
      <c r="K366" s="169"/>
      <c r="L366" s="169"/>
      <c r="M366" s="169"/>
      <c r="N366" s="170"/>
      <c r="O366" s="170"/>
      <c r="P366" s="170"/>
      <c r="Q366" s="170"/>
      <c r="R366" s="169"/>
      <c r="S366" s="169"/>
      <c r="T366" s="169"/>
      <c r="U366" s="169"/>
      <c r="V366" s="169"/>
      <c r="W366" s="169"/>
      <c r="X366" s="169"/>
      <c r="Y366" s="169"/>
      <c r="Z366" s="171"/>
      <c r="AA366" s="171"/>
      <c r="AB366" s="171"/>
      <c r="AC366" s="171"/>
      <c r="AD366" s="171"/>
      <c r="AE366" s="171"/>
      <c r="AF366" s="171"/>
      <c r="AG366" s="171" t="s">
        <v>148</v>
      </c>
      <c r="AH366" s="171">
        <v>0</v>
      </c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  <c r="BE366" s="171"/>
      <c r="BF366" s="171"/>
      <c r="BG366" s="171"/>
      <c r="BH366" s="171"/>
    </row>
    <row r="367" spans="1:60" outlineLevel="1" x14ac:dyDescent="0.2">
      <c r="A367" s="162">
        <v>46</v>
      </c>
      <c r="B367" s="163" t="s">
        <v>415</v>
      </c>
      <c r="C367" s="164" t="s">
        <v>416</v>
      </c>
      <c r="D367" s="165" t="s">
        <v>159</v>
      </c>
      <c r="E367" s="166">
        <v>185.85079999999999</v>
      </c>
      <c r="F367" s="140"/>
      <c r="G367" s="167">
        <f>ROUND(E367*F367,2)</f>
        <v>0</v>
      </c>
      <c r="H367" s="168"/>
      <c r="I367" s="169">
        <f>ROUND(E367*H367,2)</f>
        <v>0</v>
      </c>
      <c r="J367" s="168"/>
      <c r="K367" s="169">
        <f>ROUND(E367*J367,2)</f>
        <v>0</v>
      </c>
      <c r="L367" s="169">
        <v>21</v>
      </c>
      <c r="M367" s="169">
        <f>G367*(1+L367/100)</f>
        <v>0</v>
      </c>
      <c r="N367" s="170">
        <v>0</v>
      </c>
      <c r="O367" s="170">
        <f>ROUND(E367*N367,2)</f>
        <v>0</v>
      </c>
      <c r="P367" s="170">
        <v>6.0999999999999999E-2</v>
      </c>
      <c r="Q367" s="170">
        <f>ROUND(E367*P367,2)</f>
        <v>11.34</v>
      </c>
      <c r="R367" s="169"/>
      <c r="S367" s="169" t="s">
        <v>143</v>
      </c>
      <c r="T367" s="169" t="s">
        <v>143</v>
      </c>
      <c r="U367" s="169">
        <v>0.67</v>
      </c>
      <c r="V367" s="169">
        <f>ROUND(E367*U367,2)</f>
        <v>124.52</v>
      </c>
      <c r="W367" s="169"/>
      <c r="X367" s="169" t="s">
        <v>144</v>
      </c>
      <c r="Y367" s="169" t="s">
        <v>145</v>
      </c>
      <c r="Z367" s="171"/>
      <c r="AA367" s="171"/>
      <c r="AB367" s="171"/>
      <c r="AC367" s="171"/>
      <c r="AD367" s="171"/>
      <c r="AE367" s="171"/>
      <c r="AF367" s="171"/>
      <c r="AG367" s="171" t="s">
        <v>146</v>
      </c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  <c r="BE367" s="171"/>
      <c r="BF367" s="171"/>
      <c r="BG367" s="171"/>
      <c r="BH367" s="171"/>
    </row>
    <row r="368" spans="1:60" outlineLevel="2" x14ac:dyDescent="0.2">
      <c r="A368" s="172"/>
      <c r="B368" s="173"/>
      <c r="C368" s="174" t="s">
        <v>417</v>
      </c>
      <c r="D368" s="175"/>
      <c r="E368" s="176"/>
      <c r="F368" s="196"/>
      <c r="G368" s="169"/>
      <c r="H368" s="169"/>
      <c r="I368" s="169"/>
      <c r="J368" s="169"/>
      <c r="K368" s="169"/>
      <c r="L368" s="169"/>
      <c r="M368" s="169"/>
      <c r="N368" s="170"/>
      <c r="O368" s="170"/>
      <c r="P368" s="170"/>
      <c r="Q368" s="170"/>
      <c r="R368" s="169"/>
      <c r="S368" s="169"/>
      <c r="T368" s="169"/>
      <c r="U368" s="169"/>
      <c r="V368" s="169"/>
      <c r="W368" s="169"/>
      <c r="X368" s="169"/>
      <c r="Y368" s="169"/>
      <c r="Z368" s="171"/>
      <c r="AA368" s="171"/>
      <c r="AB368" s="171"/>
      <c r="AC368" s="171"/>
      <c r="AD368" s="171"/>
      <c r="AE368" s="171"/>
      <c r="AF368" s="171"/>
      <c r="AG368" s="171" t="s">
        <v>148</v>
      </c>
      <c r="AH368" s="171">
        <v>0</v>
      </c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</row>
    <row r="369" spans="1:60" outlineLevel="3" x14ac:dyDescent="0.2">
      <c r="A369" s="172"/>
      <c r="B369" s="173"/>
      <c r="C369" s="174" t="s">
        <v>149</v>
      </c>
      <c r="D369" s="175"/>
      <c r="E369" s="176"/>
      <c r="F369" s="196"/>
      <c r="G369" s="169"/>
      <c r="H369" s="169"/>
      <c r="I369" s="169"/>
      <c r="J369" s="169"/>
      <c r="K369" s="169"/>
      <c r="L369" s="169"/>
      <c r="M369" s="169"/>
      <c r="N369" s="170"/>
      <c r="O369" s="170"/>
      <c r="P369" s="170"/>
      <c r="Q369" s="170"/>
      <c r="R369" s="169"/>
      <c r="S369" s="169"/>
      <c r="T369" s="169"/>
      <c r="U369" s="169"/>
      <c r="V369" s="169"/>
      <c r="W369" s="169"/>
      <c r="X369" s="169"/>
      <c r="Y369" s="169"/>
      <c r="Z369" s="171"/>
      <c r="AA369" s="171"/>
      <c r="AB369" s="171"/>
      <c r="AC369" s="171"/>
      <c r="AD369" s="171"/>
      <c r="AE369" s="171"/>
      <c r="AF369" s="171"/>
      <c r="AG369" s="171" t="s">
        <v>148</v>
      </c>
      <c r="AH369" s="171">
        <v>0</v>
      </c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  <c r="BE369" s="171"/>
      <c r="BF369" s="171"/>
      <c r="BG369" s="171"/>
      <c r="BH369" s="171"/>
    </row>
    <row r="370" spans="1:60" outlineLevel="3" x14ac:dyDescent="0.2">
      <c r="A370" s="172"/>
      <c r="B370" s="173"/>
      <c r="C370" s="174" t="s">
        <v>418</v>
      </c>
      <c r="D370" s="175"/>
      <c r="E370" s="176">
        <v>8.4629999999999992</v>
      </c>
      <c r="F370" s="196"/>
      <c r="G370" s="169"/>
      <c r="H370" s="169"/>
      <c r="I370" s="169"/>
      <c r="J370" s="169"/>
      <c r="K370" s="169"/>
      <c r="L370" s="169"/>
      <c r="M370" s="169"/>
      <c r="N370" s="170"/>
      <c r="O370" s="170"/>
      <c r="P370" s="170"/>
      <c r="Q370" s="170"/>
      <c r="R370" s="169"/>
      <c r="S370" s="169"/>
      <c r="T370" s="169"/>
      <c r="U370" s="169"/>
      <c r="V370" s="169"/>
      <c r="W370" s="169"/>
      <c r="X370" s="169"/>
      <c r="Y370" s="169"/>
      <c r="Z370" s="171"/>
      <c r="AA370" s="171"/>
      <c r="AB370" s="171"/>
      <c r="AC370" s="171"/>
      <c r="AD370" s="171"/>
      <c r="AE370" s="171"/>
      <c r="AF370" s="171"/>
      <c r="AG370" s="171" t="s">
        <v>148</v>
      </c>
      <c r="AH370" s="171">
        <v>0</v>
      </c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  <c r="BE370" s="171"/>
      <c r="BF370" s="171"/>
      <c r="BG370" s="171"/>
      <c r="BH370" s="171"/>
    </row>
    <row r="371" spans="1:60" outlineLevel="3" x14ac:dyDescent="0.2">
      <c r="A371" s="172"/>
      <c r="B371" s="173"/>
      <c r="C371" s="174" t="s">
        <v>419</v>
      </c>
      <c r="D371" s="175"/>
      <c r="E371" s="176">
        <v>6.5124000000000004</v>
      </c>
      <c r="F371" s="196"/>
      <c r="G371" s="169"/>
      <c r="H371" s="169"/>
      <c r="I371" s="169"/>
      <c r="J371" s="169"/>
      <c r="K371" s="169"/>
      <c r="L371" s="169"/>
      <c r="M371" s="169"/>
      <c r="N371" s="170"/>
      <c r="O371" s="170"/>
      <c r="P371" s="170"/>
      <c r="Q371" s="170"/>
      <c r="R371" s="169"/>
      <c r="S371" s="169"/>
      <c r="T371" s="169"/>
      <c r="U371" s="169"/>
      <c r="V371" s="169"/>
      <c r="W371" s="169"/>
      <c r="X371" s="169"/>
      <c r="Y371" s="169"/>
      <c r="Z371" s="171"/>
      <c r="AA371" s="171"/>
      <c r="AB371" s="171"/>
      <c r="AC371" s="171"/>
      <c r="AD371" s="171"/>
      <c r="AE371" s="171"/>
      <c r="AF371" s="171"/>
      <c r="AG371" s="171" t="s">
        <v>148</v>
      </c>
      <c r="AH371" s="171">
        <v>0</v>
      </c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  <c r="BE371" s="171"/>
      <c r="BF371" s="171"/>
      <c r="BG371" s="171"/>
      <c r="BH371" s="171"/>
    </row>
    <row r="372" spans="1:60" outlineLevel="3" x14ac:dyDescent="0.2">
      <c r="A372" s="172"/>
      <c r="B372" s="173"/>
      <c r="C372" s="174" t="s">
        <v>420</v>
      </c>
      <c r="D372" s="175"/>
      <c r="E372" s="176">
        <v>9.57</v>
      </c>
      <c r="F372" s="196"/>
      <c r="G372" s="169"/>
      <c r="H372" s="169"/>
      <c r="I372" s="169"/>
      <c r="J372" s="169"/>
      <c r="K372" s="169"/>
      <c r="L372" s="169"/>
      <c r="M372" s="169"/>
      <c r="N372" s="170"/>
      <c r="O372" s="170"/>
      <c r="P372" s="170"/>
      <c r="Q372" s="170"/>
      <c r="R372" s="169"/>
      <c r="S372" s="169"/>
      <c r="T372" s="169"/>
      <c r="U372" s="169"/>
      <c r="V372" s="169"/>
      <c r="W372" s="169"/>
      <c r="X372" s="169"/>
      <c r="Y372" s="169"/>
      <c r="Z372" s="171"/>
      <c r="AA372" s="171"/>
      <c r="AB372" s="171"/>
      <c r="AC372" s="171"/>
      <c r="AD372" s="171"/>
      <c r="AE372" s="171"/>
      <c r="AF372" s="171"/>
      <c r="AG372" s="171" t="s">
        <v>148</v>
      </c>
      <c r="AH372" s="171">
        <v>0</v>
      </c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  <c r="BE372" s="171"/>
      <c r="BF372" s="171"/>
      <c r="BG372" s="171"/>
      <c r="BH372" s="171"/>
    </row>
    <row r="373" spans="1:60" outlineLevel="3" x14ac:dyDescent="0.2">
      <c r="A373" s="172"/>
      <c r="B373" s="173"/>
      <c r="C373" s="174" t="s">
        <v>421</v>
      </c>
      <c r="D373" s="175"/>
      <c r="E373" s="176">
        <v>6.7134</v>
      </c>
      <c r="F373" s="196"/>
      <c r="G373" s="169"/>
      <c r="H373" s="169"/>
      <c r="I373" s="169"/>
      <c r="J373" s="169"/>
      <c r="K373" s="169"/>
      <c r="L373" s="169"/>
      <c r="M373" s="169"/>
      <c r="N373" s="170"/>
      <c r="O373" s="170"/>
      <c r="P373" s="170"/>
      <c r="Q373" s="170"/>
      <c r="R373" s="169"/>
      <c r="S373" s="169"/>
      <c r="T373" s="169"/>
      <c r="U373" s="169"/>
      <c r="V373" s="169"/>
      <c r="W373" s="169"/>
      <c r="X373" s="169"/>
      <c r="Y373" s="169"/>
      <c r="Z373" s="171"/>
      <c r="AA373" s="171"/>
      <c r="AB373" s="171"/>
      <c r="AC373" s="171"/>
      <c r="AD373" s="171"/>
      <c r="AE373" s="171"/>
      <c r="AF373" s="171"/>
      <c r="AG373" s="171" t="s">
        <v>148</v>
      </c>
      <c r="AH373" s="171">
        <v>0</v>
      </c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  <c r="BE373" s="171"/>
      <c r="BF373" s="171"/>
      <c r="BG373" s="171"/>
      <c r="BH373" s="171"/>
    </row>
    <row r="374" spans="1:60" outlineLevel="3" x14ac:dyDescent="0.2">
      <c r="A374" s="172"/>
      <c r="B374" s="173"/>
      <c r="C374" s="174" t="s">
        <v>422</v>
      </c>
      <c r="D374" s="175"/>
      <c r="E374" s="176">
        <v>6.2549999999999999</v>
      </c>
      <c r="F374" s="196"/>
      <c r="G374" s="169"/>
      <c r="H374" s="169"/>
      <c r="I374" s="169"/>
      <c r="J374" s="169"/>
      <c r="K374" s="169"/>
      <c r="L374" s="169"/>
      <c r="M374" s="169"/>
      <c r="N374" s="170"/>
      <c r="O374" s="170"/>
      <c r="P374" s="170"/>
      <c r="Q374" s="170"/>
      <c r="R374" s="169"/>
      <c r="S374" s="169"/>
      <c r="T374" s="169"/>
      <c r="U374" s="169"/>
      <c r="V374" s="169"/>
      <c r="W374" s="169"/>
      <c r="X374" s="169"/>
      <c r="Y374" s="169"/>
      <c r="Z374" s="171"/>
      <c r="AA374" s="171"/>
      <c r="AB374" s="171"/>
      <c r="AC374" s="171"/>
      <c r="AD374" s="171"/>
      <c r="AE374" s="171"/>
      <c r="AF374" s="171"/>
      <c r="AG374" s="171" t="s">
        <v>148</v>
      </c>
      <c r="AH374" s="171">
        <v>0</v>
      </c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  <c r="BE374" s="171"/>
      <c r="BF374" s="171"/>
      <c r="BG374" s="171"/>
      <c r="BH374" s="171"/>
    </row>
    <row r="375" spans="1:60" outlineLevel="3" x14ac:dyDescent="0.2">
      <c r="A375" s="172"/>
      <c r="B375" s="173"/>
      <c r="C375" s="174" t="s">
        <v>423</v>
      </c>
      <c r="D375" s="175"/>
      <c r="E375" s="176">
        <v>6.09</v>
      </c>
      <c r="F375" s="196"/>
      <c r="G375" s="169"/>
      <c r="H375" s="169"/>
      <c r="I375" s="169"/>
      <c r="J375" s="169"/>
      <c r="K375" s="169"/>
      <c r="L375" s="169"/>
      <c r="M375" s="169"/>
      <c r="N375" s="170"/>
      <c r="O375" s="170"/>
      <c r="P375" s="170"/>
      <c r="Q375" s="170"/>
      <c r="R375" s="169"/>
      <c r="S375" s="169"/>
      <c r="T375" s="169"/>
      <c r="U375" s="169"/>
      <c r="V375" s="169"/>
      <c r="W375" s="169"/>
      <c r="X375" s="169"/>
      <c r="Y375" s="169"/>
      <c r="Z375" s="171"/>
      <c r="AA375" s="171"/>
      <c r="AB375" s="171"/>
      <c r="AC375" s="171"/>
      <c r="AD375" s="171"/>
      <c r="AE375" s="171"/>
      <c r="AF375" s="171"/>
      <c r="AG375" s="171" t="s">
        <v>148</v>
      </c>
      <c r="AH375" s="171">
        <v>0</v>
      </c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71"/>
      <c r="BB375" s="171"/>
      <c r="BC375" s="171"/>
      <c r="BD375" s="171"/>
      <c r="BE375" s="171"/>
      <c r="BF375" s="171"/>
      <c r="BG375" s="171"/>
      <c r="BH375" s="171"/>
    </row>
    <row r="376" spans="1:60" outlineLevel="3" x14ac:dyDescent="0.2">
      <c r="A376" s="172"/>
      <c r="B376" s="173"/>
      <c r="C376" s="174" t="s">
        <v>424</v>
      </c>
      <c r="D376" s="175"/>
      <c r="E376" s="176">
        <v>6.24</v>
      </c>
      <c r="F376" s="196"/>
      <c r="G376" s="169"/>
      <c r="H376" s="169"/>
      <c r="I376" s="169"/>
      <c r="J376" s="169"/>
      <c r="K376" s="169"/>
      <c r="L376" s="169"/>
      <c r="M376" s="169"/>
      <c r="N376" s="170"/>
      <c r="O376" s="170"/>
      <c r="P376" s="170"/>
      <c r="Q376" s="170"/>
      <c r="R376" s="169"/>
      <c r="S376" s="169"/>
      <c r="T376" s="169"/>
      <c r="U376" s="169"/>
      <c r="V376" s="169"/>
      <c r="W376" s="169"/>
      <c r="X376" s="169"/>
      <c r="Y376" s="169"/>
      <c r="Z376" s="171"/>
      <c r="AA376" s="171"/>
      <c r="AB376" s="171"/>
      <c r="AC376" s="171"/>
      <c r="AD376" s="171"/>
      <c r="AE376" s="171"/>
      <c r="AF376" s="171"/>
      <c r="AG376" s="171" t="s">
        <v>148</v>
      </c>
      <c r="AH376" s="171">
        <v>0</v>
      </c>
      <c r="AI376" s="171"/>
      <c r="AJ376" s="171"/>
      <c r="AK376" s="171"/>
      <c r="AL376" s="171"/>
      <c r="AM376" s="171"/>
      <c r="AN376" s="171"/>
      <c r="AO376" s="171"/>
      <c r="AP376" s="171"/>
      <c r="AQ376" s="171"/>
      <c r="AR376" s="171"/>
      <c r="AS376" s="171"/>
      <c r="AT376" s="171"/>
      <c r="AU376" s="171"/>
      <c r="AV376" s="171"/>
      <c r="AW376" s="171"/>
      <c r="AX376" s="171"/>
      <c r="AY376" s="171"/>
      <c r="AZ376" s="171"/>
      <c r="BA376" s="171"/>
      <c r="BB376" s="171"/>
      <c r="BC376" s="171"/>
      <c r="BD376" s="171"/>
      <c r="BE376" s="171"/>
      <c r="BF376" s="171"/>
      <c r="BG376" s="171"/>
      <c r="BH376" s="171"/>
    </row>
    <row r="377" spans="1:60" outlineLevel="3" x14ac:dyDescent="0.2">
      <c r="A377" s="172"/>
      <c r="B377" s="173"/>
      <c r="C377" s="174" t="s">
        <v>425</v>
      </c>
      <c r="D377" s="175"/>
      <c r="E377" s="176">
        <v>3.84</v>
      </c>
      <c r="F377" s="196"/>
      <c r="G377" s="169"/>
      <c r="H377" s="169"/>
      <c r="I377" s="169"/>
      <c r="J377" s="169"/>
      <c r="K377" s="169"/>
      <c r="L377" s="169"/>
      <c r="M377" s="169"/>
      <c r="N377" s="170"/>
      <c r="O377" s="170"/>
      <c r="P377" s="170"/>
      <c r="Q377" s="170"/>
      <c r="R377" s="169"/>
      <c r="S377" s="169"/>
      <c r="T377" s="169"/>
      <c r="U377" s="169"/>
      <c r="V377" s="169"/>
      <c r="W377" s="169"/>
      <c r="X377" s="169"/>
      <c r="Y377" s="169"/>
      <c r="Z377" s="171"/>
      <c r="AA377" s="171"/>
      <c r="AB377" s="171"/>
      <c r="AC377" s="171"/>
      <c r="AD377" s="171"/>
      <c r="AE377" s="171"/>
      <c r="AF377" s="171"/>
      <c r="AG377" s="171" t="s">
        <v>148</v>
      </c>
      <c r="AH377" s="171">
        <v>0</v>
      </c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1"/>
      <c r="AY377" s="171"/>
      <c r="AZ377" s="171"/>
      <c r="BA377" s="171"/>
      <c r="BB377" s="171"/>
      <c r="BC377" s="171"/>
      <c r="BD377" s="171"/>
      <c r="BE377" s="171"/>
      <c r="BF377" s="171"/>
      <c r="BG377" s="171"/>
      <c r="BH377" s="171"/>
    </row>
    <row r="378" spans="1:60" outlineLevel="3" x14ac:dyDescent="0.2">
      <c r="A378" s="172"/>
      <c r="B378" s="173"/>
      <c r="C378" s="174" t="s">
        <v>426</v>
      </c>
      <c r="D378" s="175"/>
      <c r="E378" s="176">
        <v>4.74</v>
      </c>
      <c r="F378" s="196"/>
      <c r="G378" s="169"/>
      <c r="H378" s="169"/>
      <c r="I378" s="169"/>
      <c r="J378" s="169"/>
      <c r="K378" s="169"/>
      <c r="L378" s="169"/>
      <c r="M378" s="169"/>
      <c r="N378" s="170"/>
      <c r="O378" s="170"/>
      <c r="P378" s="170"/>
      <c r="Q378" s="170"/>
      <c r="R378" s="169"/>
      <c r="S378" s="169"/>
      <c r="T378" s="169"/>
      <c r="U378" s="169"/>
      <c r="V378" s="169"/>
      <c r="W378" s="169"/>
      <c r="X378" s="169"/>
      <c r="Y378" s="169"/>
      <c r="Z378" s="171"/>
      <c r="AA378" s="171"/>
      <c r="AB378" s="171"/>
      <c r="AC378" s="171"/>
      <c r="AD378" s="171"/>
      <c r="AE378" s="171"/>
      <c r="AF378" s="171"/>
      <c r="AG378" s="171" t="s">
        <v>148</v>
      </c>
      <c r="AH378" s="171">
        <v>0</v>
      </c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  <c r="BE378" s="171"/>
      <c r="BF378" s="171"/>
      <c r="BG378" s="171"/>
      <c r="BH378" s="171"/>
    </row>
    <row r="379" spans="1:60" outlineLevel="3" x14ac:dyDescent="0.2">
      <c r="A379" s="172"/>
      <c r="B379" s="173"/>
      <c r="C379" s="174" t="s">
        <v>417</v>
      </c>
      <c r="D379" s="175"/>
      <c r="E379" s="176"/>
      <c r="F379" s="196"/>
      <c r="G379" s="169"/>
      <c r="H379" s="169"/>
      <c r="I379" s="169"/>
      <c r="J379" s="169"/>
      <c r="K379" s="169"/>
      <c r="L379" s="169"/>
      <c r="M379" s="169"/>
      <c r="N379" s="170"/>
      <c r="O379" s="170"/>
      <c r="P379" s="170"/>
      <c r="Q379" s="170"/>
      <c r="R379" s="169"/>
      <c r="S379" s="169"/>
      <c r="T379" s="169"/>
      <c r="U379" s="169"/>
      <c r="V379" s="169"/>
      <c r="W379" s="169"/>
      <c r="X379" s="169"/>
      <c r="Y379" s="169"/>
      <c r="Z379" s="171"/>
      <c r="AA379" s="171"/>
      <c r="AB379" s="171"/>
      <c r="AC379" s="171"/>
      <c r="AD379" s="171"/>
      <c r="AE379" s="171"/>
      <c r="AF379" s="171"/>
      <c r="AG379" s="171" t="s">
        <v>148</v>
      </c>
      <c r="AH379" s="171">
        <v>0</v>
      </c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  <c r="BE379" s="171"/>
      <c r="BF379" s="171"/>
      <c r="BG379" s="171"/>
      <c r="BH379" s="171"/>
    </row>
    <row r="380" spans="1:60" outlineLevel="3" x14ac:dyDescent="0.2">
      <c r="A380" s="172"/>
      <c r="B380" s="173"/>
      <c r="C380" s="174" t="s">
        <v>151</v>
      </c>
      <c r="D380" s="175"/>
      <c r="E380" s="176"/>
      <c r="F380" s="196"/>
      <c r="G380" s="169"/>
      <c r="H380" s="169"/>
      <c r="I380" s="169"/>
      <c r="J380" s="169"/>
      <c r="K380" s="169"/>
      <c r="L380" s="169"/>
      <c r="M380" s="169"/>
      <c r="N380" s="170"/>
      <c r="O380" s="170"/>
      <c r="P380" s="170"/>
      <c r="Q380" s="170"/>
      <c r="R380" s="169"/>
      <c r="S380" s="169"/>
      <c r="T380" s="169"/>
      <c r="U380" s="169"/>
      <c r="V380" s="169"/>
      <c r="W380" s="169"/>
      <c r="X380" s="169"/>
      <c r="Y380" s="169"/>
      <c r="Z380" s="171"/>
      <c r="AA380" s="171"/>
      <c r="AB380" s="171"/>
      <c r="AC380" s="171"/>
      <c r="AD380" s="171"/>
      <c r="AE380" s="171"/>
      <c r="AF380" s="171"/>
      <c r="AG380" s="171" t="s">
        <v>148</v>
      </c>
      <c r="AH380" s="171">
        <v>0</v>
      </c>
      <c r="AI380" s="171"/>
      <c r="AJ380" s="171"/>
      <c r="AK380" s="171"/>
      <c r="AL380" s="171"/>
      <c r="AM380" s="171"/>
      <c r="AN380" s="171"/>
      <c r="AO380" s="171"/>
      <c r="AP380" s="171"/>
      <c r="AQ380" s="171"/>
      <c r="AR380" s="171"/>
      <c r="AS380" s="171"/>
      <c r="AT380" s="171"/>
      <c r="AU380" s="171"/>
      <c r="AV380" s="171"/>
      <c r="AW380" s="171"/>
      <c r="AX380" s="171"/>
      <c r="AY380" s="171"/>
      <c r="AZ380" s="171"/>
      <c r="BA380" s="171"/>
      <c r="BB380" s="171"/>
      <c r="BC380" s="171"/>
      <c r="BD380" s="171"/>
      <c r="BE380" s="171"/>
      <c r="BF380" s="171"/>
      <c r="BG380" s="171"/>
      <c r="BH380" s="171"/>
    </row>
    <row r="381" spans="1:60" outlineLevel="3" x14ac:dyDescent="0.2">
      <c r="A381" s="172"/>
      <c r="B381" s="173"/>
      <c r="C381" s="174" t="s">
        <v>427</v>
      </c>
      <c r="D381" s="175"/>
      <c r="E381" s="176">
        <v>8.5500000000000007</v>
      </c>
      <c r="F381" s="196"/>
      <c r="G381" s="169"/>
      <c r="H381" s="169"/>
      <c r="I381" s="169"/>
      <c r="J381" s="169"/>
      <c r="K381" s="169"/>
      <c r="L381" s="169"/>
      <c r="M381" s="169"/>
      <c r="N381" s="170"/>
      <c r="O381" s="170"/>
      <c r="P381" s="170"/>
      <c r="Q381" s="170"/>
      <c r="R381" s="169"/>
      <c r="S381" s="169"/>
      <c r="T381" s="169"/>
      <c r="U381" s="169"/>
      <c r="V381" s="169"/>
      <c r="W381" s="169"/>
      <c r="X381" s="169"/>
      <c r="Y381" s="169"/>
      <c r="Z381" s="171"/>
      <c r="AA381" s="171"/>
      <c r="AB381" s="171"/>
      <c r="AC381" s="171"/>
      <c r="AD381" s="171"/>
      <c r="AE381" s="171"/>
      <c r="AF381" s="171"/>
      <c r="AG381" s="171" t="s">
        <v>148</v>
      </c>
      <c r="AH381" s="171">
        <v>0</v>
      </c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71"/>
      <c r="BB381" s="171"/>
      <c r="BC381" s="171"/>
      <c r="BD381" s="171"/>
      <c r="BE381" s="171"/>
      <c r="BF381" s="171"/>
      <c r="BG381" s="171"/>
      <c r="BH381" s="171"/>
    </row>
    <row r="382" spans="1:60" outlineLevel="3" x14ac:dyDescent="0.2">
      <c r="A382" s="172"/>
      <c r="B382" s="173"/>
      <c r="C382" s="174" t="s">
        <v>428</v>
      </c>
      <c r="D382" s="175"/>
      <c r="E382" s="176">
        <v>10.59</v>
      </c>
      <c r="F382" s="196"/>
      <c r="G382" s="169"/>
      <c r="H382" s="169"/>
      <c r="I382" s="169"/>
      <c r="J382" s="169"/>
      <c r="K382" s="169"/>
      <c r="L382" s="169"/>
      <c r="M382" s="169"/>
      <c r="N382" s="170"/>
      <c r="O382" s="170"/>
      <c r="P382" s="170"/>
      <c r="Q382" s="170"/>
      <c r="R382" s="169"/>
      <c r="S382" s="169"/>
      <c r="T382" s="169"/>
      <c r="U382" s="169"/>
      <c r="V382" s="169"/>
      <c r="W382" s="169"/>
      <c r="X382" s="169"/>
      <c r="Y382" s="169"/>
      <c r="Z382" s="171"/>
      <c r="AA382" s="171"/>
      <c r="AB382" s="171"/>
      <c r="AC382" s="171"/>
      <c r="AD382" s="171"/>
      <c r="AE382" s="171"/>
      <c r="AF382" s="171"/>
      <c r="AG382" s="171" t="s">
        <v>148</v>
      </c>
      <c r="AH382" s="171">
        <v>0</v>
      </c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  <c r="AY382" s="171"/>
      <c r="AZ382" s="171"/>
      <c r="BA382" s="171"/>
      <c r="BB382" s="171"/>
      <c r="BC382" s="171"/>
      <c r="BD382" s="171"/>
      <c r="BE382" s="171"/>
      <c r="BF382" s="171"/>
      <c r="BG382" s="171"/>
      <c r="BH382" s="171"/>
    </row>
    <row r="383" spans="1:60" outlineLevel="3" x14ac:dyDescent="0.2">
      <c r="A383" s="172"/>
      <c r="B383" s="173"/>
      <c r="C383" s="174" t="s">
        <v>429</v>
      </c>
      <c r="D383" s="175"/>
      <c r="E383" s="176">
        <v>7.1479999999999997</v>
      </c>
      <c r="F383" s="196"/>
      <c r="G383" s="169"/>
      <c r="H383" s="169"/>
      <c r="I383" s="169"/>
      <c r="J383" s="169"/>
      <c r="K383" s="169"/>
      <c r="L383" s="169"/>
      <c r="M383" s="169"/>
      <c r="N383" s="170"/>
      <c r="O383" s="170"/>
      <c r="P383" s="170"/>
      <c r="Q383" s="170"/>
      <c r="R383" s="169"/>
      <c r="S383" s="169"/>
      <c r="T383" s="169"/>
      <c r="U383" s="169"/>
      <c r="V383" s="169"/>
      <c r="W383" s="169"/>
      <c r="X383" s="169"/>
      <c r="Y383" s="169"/>
      <c r="Z383" s="171"/>
      <c r="AA383" s="171"/>
      <c r="AB383" s="171"/>
      <c r="AC383" s="171"/>
      <c r="AD383" s="171"/>
      <c r="AE383" s="171"/>
      <c r="AF383" s="171"/>
      <c r="AG383" s="171" t="s">
        <v>148</v>
      </c>
      <c r="AH383" s="171">
        <v>0</v>
      </c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  <c r="AY383" s="171"/>
      <c r="AZ383" s="171"/>
      <c r="BA383" s="171"/>
      <c r="BB383" s="171"/>
      <c r="BC383" s="171"/>
      <c r="BD383" s="171"/>
      <c r="BE383" s="171"/>
      <c r="BF383" s="171"/>
      <c r="BG383" s="171"/>
      <c r="BH383" s="171"/>
    </row>
    <row r="384" spans="1:60" outlineLevel="3" x14ac:dyDescent="0.2">
      <c r="A384" s="172"/>
      <c r="B384" s="173"/>
      <c r="C384" s="174" t="s">
        <v>430</v>
      </c>
      <c r="D384" s="175"/>
      <c r="E384" s="176">
        <v>7.0730000000000004</v>
      </c>
      <c r="F384" s="196"/>
      <c r="G384" s="169"/>
      <c r="H384" s="169"/>
      <c r="I384" s="169"/>
      <c r="J384" s="169"/>
      <c r="K384" s="169"/>
      <c r="L384" s="169"/>
      <c r="M384" s="169"/>
      <c r="N384" s="170"/>
      <c r="O384" s="170"/>
      <c r="P384" s="170"/>
      <c r="Q384" s="170"/>
      <c r="R384" s="169"/>
      <c r="S384" s="169"/>
      <c r="T384" s="169"/>
      <c r="U384" s="169"/>
      <c r="V384" s="169"/>
      <c r="W384" s="169"/>
      <c r="X384" s="169"/>
      <c r="Y384" s="169"/>
      <c r="Z384" s="171"/>
      <c r="AA384" s="171"/>
      <c r="AB384" s="171"/>
      <c r="AC384" s="171"/>
      <c r="AD384" s="171"/>
      <c r="AE384" s="171"/>
      <c r="AF384" s="171"/>
      <c r="AG384" s="171" t="s">
        <v>148</v>
      </c>
      <c r="AH384" s="171">
        <v>0</v>
      </c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  <c r="BE384" s="171"/>
      <c r="BF384" s="171"/>
      <c r="BG384" s="171"/>
      <c r="BH384" s="171"/>
    </row>
    <row r="385" spans="1:60" outlineLevel="3" x14ac:dyDescent="0.2">
      <c r="A385" s="172"/>
      <c r="B385" s="173"/>
      <c r="C385" s="174" t="s">
        <v>431</v>
      </c>
      <c r="D385" s="175"/>
      <c r="E385" s="176">
        <v>7.8</v>
      </c>
      <c r="F385" s="196"/>
      <c r="G385" s="169"/>
      <c r="H385" s="169"/>
      <c r="I385" s="169"/>
      <c r="J385" s="169"/>
      <c r="K385" s="169"/>
      <c r="L385" s="169"/>
      <c r="M385" s="169"/>
      <c r="N385" s="170"/>
      <c r="O385" s="170"/>
      <c r="P385" s="170"/>
      <c r="Q385" s="170"/>
      <c r="R385" s="169"/>
      <c r="S385" s="169"/>
      <c r="T385" s="169"/>
      <c r="U385" s="169"/>
      <c r="V385" s="169"/>
      <c r="W385" s="169"/>
      <c r="X385" s="169"/>
      <c r="Y385" s="169"/>
      <c r="Z385" s="171"/>
      <c r="AA385" s="171"/>
      <c r="AB385" s="171"/>
      <c r="AC385" s="171"/>
      <c r="AD385" s="171"/>
      <c r="AE385" s="171"/>
      <c r="AF385" s="171"/>
      <c r="AG385" s="171" t="s">
        <v>148</v>
      </c>
      <c r="AH385" s="171">
        <v>0</v>
      </c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  <c r="BE385" s="171"/>
      <c r="BF385" s="171"/>
      <c r="BG385" s="171"/>
      <c r="BH385" s="171"/>
    </row>
    <row r="386" spans="1:60" outlineLevel="3" x14ac:dyDescent="0.2">
      <c r="A386" s="172"/>
      <c r="B386" s="173"/>
      <c r="C386" s="174" t="s">
        <v>432</v>
      </c>
      <c r="D386" s="175"/>
      <c r="E386" s="176">
        <v>5.67</v>
      </c>
      <c r="F386" s="196"/>
      <c r="G386" s="169"/>
      <c r="H386" s="169"/>
      <c r="I386" s="169"/>
      <c r="J386" s="169"/>
      <c r="K386" s="169"/>
      <c r="L386" s="169"/>
      <c r="M386" s="169"/>
      <c r="N386" s="170"/>
      <c r="O386" s="170"/>
      <c r="P386" s="170"/>
      <c r="Q386" s="170"/>
      <c r="R386" s="169"/>
      <c r="S386" s="169"/>
      <c r="T386" s="169"/>
      <c r="U386" s="169"/>
      <c r="V386" s="169"/>
      <c r="W386" s="169"/>
      <c r="X386" s="169"/>
      <c r="Y386" s="169"/>
      <c r="Z386" s="171"/>
      <c r="AA386" s="171"/>
      <c r="AB386" s="171"/>
      <c r="AC386" s="171"/>
      <c r="AD386" s="171"/>
      <c r="AE386" s="171"/>
      <c r="AF386" s="171"/>
      <c r="AG386" s="171" t="s">
        <v>148</v>
      </c>
      <c r="AH386" s="171">
        <v>0</v>
      </c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  <c r="BE386" s="171"/>
      <c r="BF386" s="171"/>
      <c r="BG386" s="171"/>
      <c r="BH386" s="171"/>
    </row>
    <row r="387" spans="1:60" outlineLevel="3" x14ac:dyDescent="0.2">
      <c r="A387" s="172"/>
      <c r="B387" s="173"/>
      <c r="C387" s="174" t="s">
        <v>433</v>
      </c>
      <c r="D387" s="175"/>
      <c r="E387" s="176">
        <v>4.8</v>
      </c>
      <c r="F387" s="196"/>
      <c r="G387" s="169"/>
      <c r="H387" s="169"/>
      <c r="I387" s="169"/>
      <c r="J387" s="169"/>
      <c r="K387" s="169"/>
      <c r="L387" s="169"/>
      <c r="M387" s="169"/>
      <c r="N387" s="170"/>
      <c r="O387" s="170"/>
      <c r="P387" s="170"/>
      <c r="Q387" s="170"/>
      <c r="R387" s="169"/>
      <c r="S387" s="169"/>
      <c r="T387" s="169"/>
      <c r="U387" s="169"/>
      <c r="V387" s="169"/>
      <c r="W387" s="169"/>
      <c r="X387" s="169"/>
      <c r="Y387" s="169"/>
      <c r="Z387" s="171"/>
      <c r="AA387" s="171"/>
      <c r="AB387" s="171"/>
      <c r="AC387" s="171"/>
      <c r="AD387" s="171"/>
      <c r="AE387" s="171"/>
      <c r="AF387" s="171"/>
      <c r="AG387" s="171" t="s">
        <v>148</v>
      </c>
      <c r="AH387" s="171">
        <v>0</v>
      </c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  <c r="BE387" s="171"/>
      <c r="BF387" s="171"/>
      <c r="BG387" s="171"/>
      <c r="BH387" s="171"/>
    </row>
    <row r="388" spans="1:60" outlineLevel="3" x14ac:dyDescent="0.2">
      <c r="A388" s="172"/>
      <c r="B388" s="173"/>
      <c r="C388" s="174" t="s">
        <v>434</v>
      </c>
      <c r="D388" s="175"/>
      <c r="E388" s="176">
        <v>6.57</v>
      </c>
      <c r="F388" s="196"/>
      <c r="G388" s="169"/>
      <c r="H388" s="169"/>
      <c r="I388" s="169"/>
      <c r="J388" s="169"/>
      <c r="K388" s="169"/>
      <c r="L388" s="169"/>
      <c r="M388" s="169"/>
      <c r="N388" s="170"/>
      <c r="O388" s="170"/>
      <c r="P388" s="170"/>
      <c r="Q388" s="170"/>
      <c r="R388" s="169"/>
      <c r="S388" s="169"/>
      <c r="T388" s="169"/>
      <c r="U388" s="169"/>
      <c r="V388" s="169"/>
      <c r="W388" s="169"/>
      <c r="X388" s="169"/>
      <c r="Y388" s="169"/>
      <c r="Z388" s="171"/>
      <c r="AA388" s="171"/>
      <c r="AB388" s="171"/>
      <c r="AC388" s="171"/>
      <c r="AD388" s="171"/>
      <c r="AE388" s="171"/>
      <c r="AF388" s="171"/>
      <c r="AG388" s="171" t="s">
        <v>148</v>
      </c>
      <c r="AH388" s="171">
        <v>0</v>
      </c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  <c r="AY388" s="171"/>
      <c r="AZ388" s="171"/>
      <c r="BA388" s="171"/>
      <c r="BB388" s="171"/>
      <c r="BC388" s="171"/>
      <c r="BD388" s="171"/>
      <c r="BE388" s="171"/>
      <c r="BF388" s="171"/>
      <c r="BG388" s="171"/>
      <c r="BH388" s="171"/>
    </row>
    <row r="389" spans="1:60" outlineLevel="3" x14ac:dyDescent="0.2">
      <c r="A389" s="172"/>
      <c r="B389" s="173"/>
      <c r="C389" s="174" t="s">
        <v>435</v>
      </c>
      <c r="D389" s="175"/>
      <c r="E389" s="176">
        <v>6.03</v>
      </c>
      <c r="F389" s="196"/>
      <c r="G389" s="169"/>
      <c r="H389" s="169"/>
      <c r="I389" s="169"/>
      <c r="J389" s="169"/>
      <c r="K389" s="169"/>
      <c r="L389" s="169"/>
      <c r="M389" s="169"/>
      <c r="N389" s="170"/>
      <c r="O389" s="170"/>
      <c r="P389" s="170"/>
      <c r="Q389" s="170"/>
      <c r="R389" s="169"/>
      <c r="S389" s="169"/>
      <c r="T389" s="169"/>
      <c r="U389" s="169"/>
      <c r="V389" s="169"/>
      <c r="W389" s="169"/>
      <c r="X389" s="169"/>
      <c r="Y389" s="169"/>
      <c r="Z389" s="171"/>
      <c r="AA389" s="171"/>
      <c r="AB389" s="171"/>
      <c r="AC389" s="171"/>
      <c r="AD389" s="171"/>
      <c r="AE389" s="171"/>
      <c r="AF389" s="171"/>
      <c r="AG389" s="171" t="s">
        <v>148</v>
      </c>
      <c r="AH389" s="171">
        <v>0</v>
      </c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  <c r="BE389" s="171"/>
      <c r="BF389" s="171"/>
      <c r="BG389" s="171"/>
      <c r="BH389" s="171"/>
    </row>
    <row r="390" spans="1:60" outlineLevel="3" x14ac:dyDescent="0.2">
      <c r="A390" s="172"/>
      <c r="B390" s="173"/>
      <c r="C390" s="174" t="s">
        <v>417</v>
      </c>
      <c r="D390" s="175"/>
      <c r="E390" s="176"/>
      <c r="F390" s="196"/>
      <c r="G390" s="169"/>
      <c r="H390" s="169"/>
      <c r="I390" s="169"/>
      <c r="J390" s="169"/>
      <c r="K390" s="169"/>
      <c r="L390" s="169"/>
      <c r="M390" s="169"/>
      <c r="N390" s="170"/>
      <c r="O390" s="170"/>
      <c r="P390" s="170"/>
      <c r="Q390" s="170"/>
      <c r="R390" s="169"/>
      <c r="S390" s="169"/>
      <c r="T390" s="169"/>
      <c r="U390" s="169"/>
      <c r="V390" s="169"/>
      <c r="W390" s="169"/>
      <c r="X390" s="169"/>
      <c r="Y390" s="169"/>
      <c r="Z390" s="171"/>
      <c r="AA390" s="171"/>
      <c r="AB390" s="171"/>
      <c r="AC390" s="171"/>
      <c r="AD390" s="171"/>
      <c r="AE390" s="171"/>
      <c r="AF390" s="171"/>
      <c r="AG390" s="171" t="s">
        <v>148</v>
      </c>
      <c r="AH390" s="171">
        <v>0</v>
      </c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  <c r="BE390" s="171"/>
      <c r="BF390" s="171"/>
      <c r="BG390" s="171"/>
      <c r="BH390" s="171"/>
    </row>
    <row r="391" spans="1:60" outlineLevel="3" x14ac:dyDescent="0.2">
      <c r="A391" s="172"/>
      <c r="B391" s="173"/>
      <c r="C391" s="174" t="s">
        <v>152</v>
      </c>
      <c r="D391" s="175"/>
      <c r="E391" s="176"/>
      <c r="F391" s="196"/>
      <c r="G391" s="169"/>
      <c r="H391" s="169"/>
      <c r="I391" s="169"/>
      <c r="J391" s="169"/>
      <c r="K391" s="169"/>
      <c r="L391" s="169"/>
      <c r="M391" s="169"/>
      <c r="N391" s="170"/>
      <c r="O391" s="170"/>
      <c r="P391" s="170"/>
      <c r="Q391" s="170"/>
      <c r="R391" s="169"/>
      <c r="S391" s="169"/>
      <c r="T391" s="169"/>
      <c r="U391" s="169"/>
      <c r="V391" s="169"/>
      <c r="W391" s="169"/>
      <c r="X391" s="169"/>
      <c r="Y391" s="169"/>
      <c r="Z391" s="171"/>
      <c r="AA391" s="171"/>
      <c r="AB391" s="171"/>
      <c r="AC391" s="171"/>
      <c r="AD391" s="171"/>
      <c r="AE391" s="171"/>
      <c r="AF391" s="171"/>
      <c r="AG391" s="171" t="s">
        <v>148</v>
      </c>
      <c r="AH391" s="171">
        <v>0</v>
      </c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71"/>
      <c r="BB391" s="171"/>
      <c r="BC391" s="171"/>
      <c r="BD391" s="171"/>
      <c r="BE391" s="171"/>
      <c r="BF391" s="171"/>
      <c r="BG391" s="171"/>
      <c r="BH391" s="171"/>
    </row>
    <row r="392" spans="1:60" outlineLevel="3" x14ac:dyDescent="0.2">
      <c r="A392" s="172"/>
      <c r="B392" s="173"/>
      <c r="C392" s="174" t="s">
        <v>427</v>
      </c>
      <c r="D392" s="175"/>
      <c r="E392" s="176">
        <v>8.5500000000000007</v>
      </c>
      <c r="F392" s="196"/>
      <c r="G392" s="169"/>
      <c r="H392" s="169"/>
      <c r="I392" s="169"/>
      <c r="J392" s="169"/>
      <c r="K392" s="169"/>
      <c r="L392" s="169"/>
      <c r="M392" s="169"/>
      <c r="N392" s="170"/>
      <c r="O392" s="170"/>
      <c r="P392" s="170"/>
      <c r="Q392" s="170"/>
      <c r="R392" s="169"/>
      <c r="S392" s="169"/>
      <c r="T392" s="169"/>
      <c r="U392" s="169"/>
      <c r="V392" s="169"/>
      <c r="W392" s="169"/>
      <c r="X392" s="169"/>
      <c r="Y392" s="169"/>
      <c r="Z392" s="171"/>
      <c r="AA392" s="171"/>
      <c r="AB392" s="171"/>
      <c r="AC392" s="171"/>
      <c r="AD392" s="171"/>
      <c r="AE392" s="171"/>
      <c r="AF392" s="171"/>
      <c r="AG392" s="171" t="s">
        <v>148</v>
      </c>
      <c r="AH392" s="171">
        <v>0</v>
      </c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71"/>
      <c r="BB392" s="171"/>
      <c r="BC392" s="171"/>
      <c r="BD392" s="171"/>
      <c r="BE392" s="171"/>
      <c r="BF392" s="171"/>
      <c r="BG392" s="171"/>
      <c r="BH392" s="171"/>
    </row>
    <row r="393" spans="1:60" outlineLevel="3" x14ac:dyDescent="0.2">
      <c r="A393" s="172"/>
      <c r="B393" s="173"/>
      <c r="C393" s="174" t="s">
        <v>436</v>
      </c>
      <c r="D393" s="175"/>
      <c r="E393" s="176">
        <v>9.7200000000000006</v>
      </c>
      <c r="F393" s="196"/>
      <c r="G393" s="169"/>
      <c r="H393" s="169"/>
      <c r="I393" s="169"/>
      <c r="J393" s="169"/>
      <c r="K393" s="169"/>
      <c r="L393" s="169"/>
      <c r="M393" s="169"/>
      <c r="N393" s="170"/>
      <c r="O393" s="170"/>
      <c r="P393" s="170"/>
      <c r="Q393" s="170"/>
      <c r="R393" s="169"/>
      <c r="S393" s="169"/>
      <c r="T393" s="169"/>
      <c r="U393" s="169"/>
      <c r="V393" s="169"/>
      <c r="W393" s="169"/>
      <c r="X393" s="169"/>
      <c r="Y393" s="169"/>
      <c r="Z393" s="171"/>
      <c r="AA393" s="171"/>
      <c r="AB393" s="171"/>
      <c r="AC393" s="171"/>
      <c r="AD393" s="171"/>
      <c r="AE393" s="171"/>
      <c r="AF393" s="171"/>
      <c r="AG393" s="171" t="s">
        <v>148</v>
      </c>
      <c r="AH393" s="171">
        <v>0</v>
      </c>
      <c r="AI393" s="171"/>
      <c r="AJ393" s="171"/>
      <c r="AK393" s="171"/>
      <c r="AL393" s="171"/>
      <c r="AM393" s="171"/>
      <c r="AN393" s="171"/>
      <c r="AO393" s="171"/>
      <c r="AP393" s="171"/>
      <c r="AQ393" s="171"/>
      <c r="AR393" s="171"/>
      <c r="AS393" s="171"/>
      <c r="AT393" s="171"/>
      <c r="AU393" s="171"/>
      <c r="AV393" s="171"/>
      <c r="AW393" s="171"/>
      <c r="AX393" s="171"/>
      <c r="AY393" s="171"/>
      <c r="AZ393" s="171"/>
      <c r="BA393" s="171"/>
      <c r="BB393" s="171"/>
      <c r="BC393" s="171"/>
      <c r="BD393" s="171"/>
      <c r="BE393" s="171"/>
      <c r="BF393" s="171"/>
      <c r="BG393" s="171"/>
      <c r="BH393" s="171"/>
    </row>
    <row r="394" spans="1:60" outlineLevel="3" x14ac:dyDescent="0.2">
      <c r="A394" s="172"/>
      <c r="B394" s="173"/>
      <c r="C394" s="174" t="s">
        <v>437</v>
      </c>
      <c r="D394" s="175"/>
      <c r="E394" s="176">
        <v>7.1180000000000003</v>
      </c>
      <c r="F394" s="196"/>
      <c r="G394" s="169"/>
      <c r="H394" s="169"/>
      <c r="I394" s="169"/>
      <c r="J394" s="169"/>
      <c r="K394" s="169"/>
      <c r="L394" s="169"/>
      <c r="M394" s="169"/>
      <c r="N394" s="170"/>
      <c r="O394" s="170"/>
      <c r="P394" s="170"/>
      <c r="Q394" s="170"/>
      <c r="R394" s="169"/>
      <c r="S394" s="169"/>
      <c r="T394" s="169"/>
      <c r="U394" s="169"/>
      <c r="V394" s="169"/>
      <c r="W394" s="169"/>
      <c r="X394" s="169"/>
      <c r="Y394" s="169"/>
      <c r="Z394" s="171"/>
      <c r="AA394" s="171"/>
      <c r="AB394" s="171"/>
      <c r="AC394" s="171"/>
      <c r="AD394" s="171"/>
      <c r="AE394" s="171"/>
      <c r="AF394" s="171"/>
      <c r="AG394" s="171" t="s">
        <v>148</v>
      </c>
      <c r="AH394" s="171">
        <v>0</v>
      </c>
      <c r="AI394" s="171"/>
      <c r="AJ394" s="171"/>
      <c r="AK394" s="171"/>
      <c r="AL394" s="171"/>
      <c r="AM394" s="171"/>
      <c r="AN394" s="171"/>
      <c r="AO394" s="171"/>
      <c r="AP394" s="171"/>
      <c r="AQ394" s="171"/>
      <c r="AR394" s="171"/>
      <c r="AS394" s="171"/>
      <c r="AT394" s="171"/>
      <c r="AU394" s="171"/>
      <c r="AV394" s="171"/>
      <c r="AW394" s="171"/>
      <c r="AX394" s="171"/>
      <c r="AY394" s="171"/>
      <c r="AZ394" s="171"/>
      <c r="BA394" s="171"/>
      <c r="BB394" s="171"/>
      <c r="BC394" s="171"/>
      <c r="BD394" s="171"/>
      <c r="BE394" s="171"/>
      <c r="BF394" s="171"/>
      <c r="BG394" s="171"/>
      <c r="BH394" s="171"/>
    </row>
    <row r="395" spans="1:60" outlineLevel="3" x14ac:dyDescent="0.2">
      <c r="A395" s="172"/>
      <c r="B395" s="173"/>
      <c r="C395" s="174" t="s">
        <v>438</v>
      </c>
      <c r="D395" s="175"/>
      <c r="E395" s="176">
        <v>7.343</v>
      </c>
      <c r="F395" s="196"/>
      <c r="G395" s="169"/>
      <c r="H395" s="169"/>
      <c r="I395" s="169"/>
      <c r="J395" s="169"/>
      <c r="K395" s="169"/>
      <c r="L395" s="169"/>
      <c r="M395" s="169"/>
      <c r="N395" s="170"/>
      <c r="O395" s="170"/>
      <c r="P395" s="170"/>
      <c r="Q395" s="170"/>
      <c r="R395" s="169"/>
      <c r="S395" s="169"/>
      <c r="T395" s="169"/>
      <c r="U395" s="169"/>
      <c r="V395" s="169"/>
      <c r="W395" s="169"/>
      <c r="X395" s="169"/>
      <c r="Y395" s="169"/>
      <c r="Z395" s="171"/>
      <c r="AA395" s="171"/>
      <c r="AB395" s="171"/>
      <c r="AC395" s="171"/>
      <c r="AD395" s="171"/>
      <c r="AE395" s="171"/>
      <c r="AF395" s="171"/>
      <c r="AG395" s="171" t="s">
        <v>148</v>
      </c>
      <c r="AH395" s="171">
        <v>0</v>
      </c>
      <c r="AI395" s="171"/>
      <c r="AJ395" s="171"/>
      <c r="AK395" s="171"/>
      <c r="AL395" s="171"/>
      <c r="AM395" s="171"/>
      <c r="AN395" s="171"/>
      <c r="AO395" s="171"/>
      <c r="AP395" s="171"/>
      <c r="AQ395" s="171"/>
      <c r="AR395" s="171"/>
      <c r="AS395" s="171"/>
      <c r="AT395" s="171"/>
      <c r="AU395" s="171"/>
      <c r="AV395" s="171"/>
      <c r="AW395" s="171"/>
      <c r="AX395" s="171"/>
      <c r="AY395" s="171"/>
      <c r="AZ395" s="171"/>
      <c r="BA395" s="171"/>
      <c r="BB395" s="171"/>
      <c r="BC395" s="171"/>
      <c r="BD395" s="171"/>
      <c r="BE395" s="171"/>
      <c r="BF395" s="171"/>
      <c r="BG395" s="171"/>
      <c r="BH395" s="171"/>
    </row>
    <row r="396" spans="1:60" outlineLevel="3" x14ac:dyDescent="0.2">
      <c r="A396" s="172"/>
      <c r="B396" s="173"/>
      <c r="C396" s="174" t="s">
        <v>439</v>
      </c>
      <c r="D396" s="175"/>
      <c r="E396" s="176">
        <v>7.3650000000000002</v>
      </c>
      <c r="F396" s="196"/>
      <c r="G396" s="169"/>
      <c r="H396" s="169"/>
      <c r="I396" s="169"/>
      <c r="J396" s="169"/>
      <c r="K396" s="169"/>
      <c r="L396" s="169"/>
      <c r="M396" s="169"/>
      <c r="N396" s="170"/>
      <c r="O396" s="170"/>
      <c r="P396" s="170"/>
      <c r="Q396" s="170"/>
      <c r="R396" s="169"/>
      <c r="S396" s="169"/>
      <c r="T396" s="169"/>
      <c r="U396" s="169"/>
      <c r="V396" s="169"/>
      <c r="W396" s="169"/>
      <c r="X396" s="169"/>
      <c r="Y396" s="169"/>
      <c r="Z396" s="171"/>
      <c r="AA396" s="171"/>
      <c r="AB396" s="171"/>
      <c r="AC396" s="171"/>
      <c r="AD396" s="171"/>
      <c r="AE396" s="171"/>
      <c r="AF396" s="171"/>
      <c r="AG396" s="171" t="s">
        <v>148</v>
      </c>
      <c r="AH396" s="171">
        <v>0</v>
      </c>
      <c r="AI396" s="171"/>
      <c r="AJ396" s="171"/>
      <c r="AK396" s="171"/>
      <c r="AL396" s="171"/>
      <c r="AM396" s="171"/>
      <c r="AN396" s="171"/>
      <c r="AO396" s="171"/>
      <c r="AP396" s="171"/>
      <c r="AQ396" s="171"/>
      <c r="AR396" s="171"/>
      <c r="AS396" s="171"/>
      <c r="AT396" s="171"/>
      <c r="AU396" s="171"/>
      <c r="AV396" s="171"/>
      <c r="AW396" s="171"/>
      <c r="AX396" s="171"/>
      <c r="AY396" s="171"/>
      <c r="AZ396" s="171"/>
      <c r="BA396" s="171"/>
      <c r="BB396" s="171"/>
      <c r="BC396" s="171"/>
      <c r="BD396" s="171"/>
      <c r="BE396" s="171"/>
      <c r="BF396" s="171"/>
      <c r="BG396" s="171"/>
      <c r="BH396" s="171"/>
    </row>
    <row r="397" spans="1:60" outlineLevel="3" x14ac:dyDescent="0.2">
      <c r="A397" s="172"/>
      <c r="B397" s="173"/>
      <c r="C397" s="174" t="s">
        <v>440</v>
      </c>
      <c r="D397" s="175"/>
      <c r="E397" s="176">
        <v>6.03</v>
      </c>
      <c r="F397" s="196"/>
      <c r="G397" s="169"/>
      <c r="H397" s="169"/>
      <c r="I397" s="169"/>
      <c r="J397" s="169"/>
      <c r="K397" s="169"/>
      <c r="L397" s="169"/>
      <c r="M397" s="169"/>
      <c r="N397" s="170"/>
      <c r="O397" s="170"/>
      <c r="P397" s="170"/>
      <c r="Q397" s="170"/>
      <c r="R397" s="169"/>
      <c r="S397" s="169"/>
      <c r="T397" s="169"/>
      <c r="U397" s="169"/>
      <c r="V397" s="169"/>
      <c r="W397" s="169"/>
      <c r="X397" s="169"/>
      <c r="Y397" s="169"/>
      <c r="Z397" s="171"/>
      <c r="AA397" s="171"/>
      <c r="AB397" s="171"/>
      <c r="AC397" s="171"/>
      <c r="AD397" s="171"/>
      <c r="AE397" s="171"/>
      <c r="AF397" s="171"/>
      <c r="AG397" s="171" t="s">
        <v>148</v>
      </c>
      <c r="AH397" s="171">
        <v>0</v>
      </c>
      <c r="AI397" s="171"/>
      <c r="AJ397" s="171"/>
      <c r="AK397" s="171"/>
      <c r="AL397" s="171"/>
      <c r="AM397" s="171"/>
      <c r="AN397" s="171"/>
      <c r="AO397" s="171"/>
      <c r="AP397" s="171"/>
      <c r="AQ397" s="171"/>
      <c r="AR397" s="171"/>
      <c r="AS397" s="171"/>
      <c r="AT397" s="171"/>
      <c r="AU397" s="171"/>
      <c r="AV397" s="171"/>
      <c r="AW397" s="171"/>
      <c r="AX397" s="171"/>
      <c r="AY397" s="171"/>
      <c r="AZ397" s="171"/>
      <c r="BA397" s="171"/>
      <c r="BB397" s="171"/>
      <c r="BC397" s="171"/>
      <c r="BD397" s="171"/>
      <c r="BE397" s="171"/>
      <c r="BF397" s="171"/>
      <c r="BG397" s="171"/>
      <c r="BH397" s="171"/>
    </row>
    <row r="398" spans="1:60" outlineLevel="3" x14ac:dyDescent="0.2">
      <c r="A398" s="172"/>
      <c r="B398" s="173"/>
      <c r="C398" s="174" t="s">
        <v>441</v>
      </c>
      <c r="D398" s="175"/>
      <c r="E398" s="176">
        <v>4.62</v>
      </c>
      <c r="F398" s="196"/>
      <c r="G398" s="169"/>
      <c r="H398" s="169"/>
      <c r="I398" s="169"/>
      <c r="J398" s="169"/>
      <c r="K398" s="169"/>
      <c r="L398" s="169"/>
      <c r="M398" s="169"/>
      <c r="N398" s="170"/>
      <c r="O398" s="170"/>
      <c r="P398" s="170"/>
      <c r="Q398" s="170"/>
      <c r="R398" s="169"/>
      <c r="S398" s="169"/>
      <c r="T398" s="169"/>
      <c r="U398" s="169"/>
      <c r="V398" s="169"/>
      <c r="W398" s="169"/>
      <c r="X398" s="169"/>
      <c r="Y398" s="169"/>
      <c r="Z398" s="171"/>
      <c r="AA398" s="171"/>
      <c r="AB398" s="171"/>
      <c r="AC398" s="171"/>
      <c r="AD398" s="171"/>
      <c r="AE398" s="171"/>
      <c r="AF398" s="171"/>
      <c r="AG398" s="171" t="s">
        <v>148</v>
      </c>
      <c r="AH398" s="171">
        <v>0</v>
      </c>
      <c r="AI398" s="171"/>
      <c r="AJ398" s="171"/>
      <c r="AK398" s="171"/>
      <c r="AL398" s="171"/>
      <c r="AM398" s="171"/>
      <c r="AN398" s="171"/>
      <c r="AO398" s="171"/>
      <c r="AP398" s="171"/>
      <c r="AQ398" s="171"/>
      <c r="AR398" s="171"/>
      <c r="AS398" s="171"/>
      <c r="AT398" s="171"/>
      <c r="AU398" s="171"/>
      <c r="AV398" s="171"/>
      <c r="AW398" s="171"/>
      <c r="AX398" s="171"/>
      <c r="AY398" s="171"/>
      <c r="AZ398" s="171"/>
      <c r="BA398" s="171"/>
      <c r="BB398" s="171"/>
      <c r="BC398" s="171"/>
      <c r="BD398" s="171"/>
      <c r="BE398" s="171"/>
      <c r="BF398" s="171"/>
      <c r="BG398" s="171"/>
      <c r="BH398" s="171"/>
    </row>
    <row r="399" spans="1:60" outlineLevel="3" x14ac:dyDescent="0.2">
      <c r="A399" s="172"/>
      <c r="B399" s="173"/>
      <c r="C399" s="174" t="s">
        <v>442</v>
      </c>
      <c r="D399" s="175"/>
      <c r="E399" s="176">
        <v>6.66</v>
      </c>
      <c r="F399" s="196"/>
      <c r="G399" s="169"/>
      <c r="H399" s="169"/>
      <c r="I399" s="169"/>
      <c r="J399" s="169"/>
      <c r="K399" s="169"/>
      <c r="L399" s="169"/>
      <c r="M399" s="169"/>
      <c r="N399" s="170"/>
      <c r="O399" s="170"/>
      <c r="P399" s="170"/>
      <c r="Q399" s="170"/>
      <c r="R399" s="169"/>
      <c r="S399" s="169"/>
      <c r="T399" s="169"/>
      <c r="U399" s="169"/>
      <c r="V399" s="169"/>
      <c r="W399" s="169"/>
      <c r="X399" s="169"/>
      <c r="Y399" s="169"/>
      <c r="Z399" s="171"/>
      <c r="AA399" s="171"/>
      <c r="AB399" s="171"/>
      <c r="AC399" s="171"/>
      <c r="AD399" s="171"/>
      <c r="AE399" s="171"/>
      <c r="AF399" s="171"/>
      <c r="AG399" s="171" t="s">
        <v>148</v>
      </c>
      <c r="AH399" s="171">
        <v>0</v>
      </c>
      <c r="AI399" s="171"/>
      <c r="AJ399" s="171"/>
      <c r="AK399" s="171"/>
      <c r="AL399" s="171"/>
      <c r="AM399" s="171"/>
      <c r="AN399" s="171"/>
      <c r="AO399" s="171"/>
      <c r="AP399" s="171"/>
      <c r="AQ399" s="171"/>
      <c r="AR399" s="171"/>
      <c r="AS399" s="171"/>
      <c r="AT399" s="171"/>
      <c r="AU399" s="171"/>
      <c r="AV399" s="171"/>
      <c r="AW399" s="171"/>
      <c r="AX399" s="171"/>
      <c r="AY399" s="171"/>
      <c r="AZ399" s="171"/>
      <c r="BA399" s="171"/>
      <c r="BB399" s="171"/>
      <c r="BC399" s="171"/>
      <c r="BD399" s="171"/>
      <c r="BE399" s="171"/>
      <c r="BF399" s="171"/>
      <c r="BG399" s="171"/>
      <c r="BH399" s="171"/>
    </row>
    <row r="400" spans="1:60" outlineLevel="3" x14ac:dyDescent="0.2">
      <c r="A400" s="172"/>
      <c r="B400" s="173"/>
      <c r="C400" s="174" t="s">
        <v>443</v>
      </c>
      <c r="D400" s="175"/>
      <c r="E400" s="176">
        <v>5.79</v>
      </c>
      <c r="F400" s="196"/>
      <c r="G400" s="169"/>
      <c r="H400" s="169"/>
      <c r="I400" s="169"/>
      <c r="J400" s="169"/>
      <c r="K400" s="169"/>
      <c r="L400" s="169"/>
      <c r="M400" s="169"/>
      <c r="N400" s="170"/>
      <c r="O400" s="170"/>
      <c r="P400" s="170"/>
      <c r="Q400" s="170"/>
      <c r="R400" s="169"/>
      <c r="S400" s="169"/>
      <c r="T400" s="169"/>
      <c r="U400" s="169"/>
      <c r="V400" s="169"/>
      <c r="W400" s="169"/>
      <c r="X400" s="169"/>
      <c r="Y400" s="169"/>
      <c r="Z400" s="171"/>
      <c r="AA400" s="171"/>
      <c r="AB400" s="171"/>
      <c r="AC400" s="171"/>
      <c r="AD400" s="171"/>
      <c r="AE400" s="171"/>
      <c r="AF400" s="171"/>
      <c r="AG400" s="171" t="s">
        <v>148</v>
      </c>
      <c r="AH400" s="171">
        <v>0</v>
      </c>
      <c r="AI400" s="171"/>
      <c r="AJ400" s="171"/>
      <c r="AK400" s="171"/>
      <c r="AL400" s="171"/>
      <c r="AM400" s="171"/>
      <c r="AN400" s="171"/>
      <c r="AO400" s="171"/>
      <c r="AP400" s="171"/>
      <c r="AQ400" s="171"/>
      <c r="AR400" s="171"/>
      <c r="AS400" s="171"/>
      <c r="AT400" s="171"/>
      <c r="AU400" s="171"/>
      <c r="AV400" s="171"/>
      <c r="AW400" s="171"/>
      <c r="AX400" s="171"/>
      <c r="AY400" s="171"/>
      <c r="AZ400" s="171"/>
      <c r="BA400" s="171"/>
      <c r="BB400" s="171"/>
      <c r="BC400" s="171"/>
      <c r="BD400" s="171"/>
      <c r="BE400" s="171"/>
      <c r="BF400" s="171"/>
      <c r="BG400" s="171"/>
      <c r="BH400" s="171"/>
    </row>
    <row r="401" spans="1:60" outlineLevel="3" x14ac:dyDescent="0.2">
      <c r="A401" s="172"/>
      <c r="B401" s="173"/>
      <c r="C401" s="183" t="s">
        <v>269</v>
      </c>
      <c r="D401" s="184"/>
      <c r="E401" s="185">
        <v>185.85079999999999</v>
      </c>
      <c r="F401" s="196"/>
      <c r="G401" s="169"/>
      <c r="H401" s="169"/>
      <c r="I401" s="169"/>
      <c r="J401" s="169"/>
      <c r="K401" s="169"/>
      <c r="L401" s="169"/>
      <c r="M401" s="169"/>
      <c r="N401" s="170"/>
      <c r="O401" s="170"/>
      <c r="P401" s="170"/>
      <c r="Q401" s="170"/>
      <c r="R401" s="169"/>
      <c r="S401" s="169"/>
      <c r="T401" s="169"/>
      <c r="U401" s="169"/>
      <c r="V401" s="169"/>
      <c r="W401" s="169"/>
      <c r="X401" s="169"/>
      <c r="Y401" s="169"/>
      <c r="Z401" s="171"/>
      <c r="AA401" s="171"/>
      <c r="AB401" s="171"/>
      <c r="AC401" s="171"/>
      <c r="AD401" s="171"/>
      <c r="AE401" s="171"/>
      <c r="AF401" s="171"/>
      <c r="AG401" s="171" t="s">
        <v>148</v>
      </c>
      <c r="AH401" s="171">
        <v>1</v>
      </c>
      <c r="AI401" s="171"/>
      <c r="AJ401" s="171"/>
      <c r="AK401" s="171"/>
      <c r="AL401" s="171"/>
      <c r="AM401" s="171"/>
      <c r="AN401" s="171"/>
      <c r="AO401" s="171"/>
      <c r="AP401" s="171"/>
      <c r="AQ401" s="171"/>
      <c r="AR401" s="171"/>
      <c r="AS401" s="171"/>
      <c r="AT401" s="171"/>
      <c r="AU401" s="171"/>
      <c r="AV401" s="171"/>
      <c r="AW401" s="171"/>
      <c r="AX401" s="171"/>
      <c r="AY401" s="171"/>
      <c r="AZ401" s="171"/>
      <c r="BA401" s="171"/>
      <c r="BB401" s="171"/>
      <c r="BC401" s="171"/>
      <c r="BD401" s="171"/>
      <c r="BE401" s="171"/>
      <c r="BF401" s="171"/>
      <c r="BG401" s="171"/>
      <c r="BH401" s="171"/>
    </row>
    <row r="402" spans="1:60" outlineLevel="1" x14ac:dyDescent="0.2">
      <c r="A402" s="177">
        <v>47</v>
      </c>
      <c r="B402" s="178" t="s">
        <v>444</v>
      </c>
      <c r="C402" s="179" t="s">
        <v>445</v>
      </c>
      <c r="D402" s="180" t="s">
        <v>159</v>
      </c>
      <c r="E402" s="181">
        <v>185.85079999999999</v>
      </c>
      <c r="F402" s="141"/>
      <c r="G402" s="182">
        <f>ROUND(E402*F402,2)</f>
        <v>0</v>
      </c>
      <c r="H402" s="168"/>
      <c r="I402" s="169">
        <f>ROUND(E402*H402,2)</f>
        <v>0</v>
      </c>
      <c r="J402" s="168"/>
      <c r="K402" s="169">
        <f>ROUND(E402*J402,2)</f>
        <v>0</v>
      </c>
      <c r="L402" s="169">
        <v>21</v>
      </c>
      <c r="M402" s="169">
        <f>G402*(1+L402/100)</f>
        <v>0</v>
      </c>
      <c r="N402" s="170">
        <v>0</v>
      </c>
      <c r="O402" s="170">
        <f>ROUND(E402*N402,2)</f>
        <v>0</v>
      </c>
      <c r="P402" s="170">
        <v>6.8000000000000005E-2</v>
      </c>
      <c r="Q402" s="170">
        <f>ROUND(E402*P402,2)</f>
        <v>12.64</v>
      </c>
      <c r="R402" s="169"/>
      <c r="S402" s="169" t="s">
        <v>143</v>
      </c>
      <c r="T402" s="169" t="s">
        <v>143</v>
      </c>
      <c r="U402" s="169">
        <v>0.3</v>
      </c>
      <c r="V402" s="169">
        <f>ROUND(E402*U402,2)</f>
        <v>55.76</v>
      </c>
      <c r="W402" s="169"/>
      <c r="X402" s="169" t="s">
        <v>144</v>
      </c>
      <c r="Y402" s="169" t="s">
        <v>145</v>
      </c>
      <c r="Z402" s="171"/>
      <c r="AA402" s="171"/>
      <c r="AB402" s="171"/>
      <c r="AC402" s="171"/>
      <c r="AD402" s="171"/>
      <c r="AE402" s="171"/>
      <c r="AF402" s="171"/>
      <c r="AG402" s="171" t="s">
        <v>146</v>
      </c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  <c r="AY402" s="171"/>
      <c r="AZ402" s="171"/>
      <c r="BA402" s="171"/>
      <c r="BB402" s="171"/>
      <c r="BC402" s="171"/>
      <c r="BD402" s="171"/>
      <c r="BE402" s="171"/>
      <c r="BF402" s="171"/>
      <c r="BG402" s="171"/>
      <c r="BH402" s="171"/>
    </row>
    <row r="403" spans="1:60" x14ac:dyDescent="0.2">
      <c r="A403" s="153" t="s">
        <v>138</v>
      </c>
      <c r="B403" s="154" t="s">
        <v>79</v>
      </c>
      <c r="C403" s="155" t="s">
        <v>80</v>
      </c>
      <c r="D403" s="156"/>
      <c r="E403" s="157"/>
      <c r="F403" s="197"/>
      <c r="G403" s="159">
        <f>SUMIF(AG404:AG404,"&lt;&gt;NOR",G404:G404)</f>
        <v>0</v>
      </c>
      <c r="H403" s="160"/>
      <c r="I403" s="160">
        <f>SUM(I404:I404)</f>
        <v>0</v>
      </c>
      <c r="J403" s="160"/>
      <c r="K403" s="160">
        <f>SUM(K404:K404)</f>
        <v>0</v>
      </c>
      <c r="L403" s="160"/>
      <c r="M403" s="160">
        <f>SUM(M404:M404)</f>
        <v>0</v>
      </c>
      <c r="N403" s="161"/>
      <c r="O403" s="161">
        <f>SUM(O404:O404)</f>
        <v>0</v>
      </c>
      <c r="P403" s="161"/>
      <c r="Q403" s="161">
        <f>SUM(Q404:Q404)</f>
        <v>0</v>
      </c>
      <c r="R403" s="160"/>
      <c r="S403" s="160"/>
      <c r="T403" s="160"/>
      <c r="U403" s="160"/>
      <c r="V403" s="160">
        <f>SUM(V404:V404)</f>
        <v>197.38</v>
      </c>
      <c r="W403" s="160"/>
      <c r="X403" s="160"/>
      <c r="Y403" s="160"/>
      <c r="AG403" t="s">
        <v>139</v>
      </c>
    </row>
    <row r="404" spans="1:60" ht="22.5" outlineLevel="1" x14ac:dyDescent="0.2">
      <c r="A404" s="177">
        <v>48</v>
      </c>
      <c r="B404" s="178" t="s">
        <v>446</v>
      </c>
      <c r="C404" s="179" t="s">
        <v>447</v>
      </c>
      <c r="D404" s="180" t="s">
        <v>155</v>
      </c>
      <c r="E404" s="181">
        <v>35.886589999999998</v>
      </c>
      <c r="F404" s="141"/>
      <c r="G404" s="182">
        <f>ROUND(E404*F404,2)</f>
        <v>0</v>
      </c>
      <c r="H404" s="168"/>
      <c r="I404" s="169">
        <f>ROUND(E404*H404,2)</f>
        <v>0</v>
      </c>
      <c r="J404" s="168"/>
      <c r="K404" s="169">
        <f>ROUND(E404*J404,2)</f>
        <v>0</v>
      </c>
      <c r="L404" s="169">
        <v>21</v>
      </c>
      <c r="M404" s="169">
        <f>G404*(1+L404/100)</f>
        <v>0</v>
      </c>
      <c r="N404" s="170">
        <v>0</v>
      </c>
      <c r="O404" s="170">
        <f>ROUND(E404*N404,2)</f>
        <v>0</v>
      </c>
      <c r="P404" s="170">
        <v>0</v>
      </c>
      <c r="Q404" s="170">
        <f>ROUND(E404*P404,2)</f>
        <v>0</v>
      </c>
      <c r="R404" s="169"/>
      <c r="S404" s="169" t="s">
        <v>143</v>
      </c>
      <c r="T404" s="169" t="s">
        <v>143</v>
      </c>
      <c r="U404" s="169">
        <v>5.5</v>
      </c>
      <c r="V404" s="169">
        <f>ROUND(E404*U404,2)</f>
        <v>197.38</v>
      </c>
      <c r="W404" s="169"/>
      <c r="X404" s="169" t="s">
        <v>448</v>
      </c>
      <c r="Y404" s="169" t="s">
        <v>145</v>
      </c>
      <c r="Z404" s="171"/>
      <c r="AA404" s="171"/>
      <c r="AB404" s="171"/>
      <c r="AC404" s="171"/>
      <c r="AD404" s="171"/>
      <c r="AE404" s="171"/>
      <c r="AF404" s="171"/>
      <c r="AG404" s="171" t="s">
        <v>449</v>
      </c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  <c r="AY404" s="171"/>
      <c r="AZ404" s="171"/>
      <c r="BA404" s="171"/>
      <c r="BB404" s="171"/>
      <c r="BC404" s="171"/>
      <c r="BD404" s="171"/>
      <c r="BE404" s="171"/>
      <c r="BF404" s="171"/>
      <c r="BG404" s="171"/>
      <c r="BH404" s="171"/>
    </row>
    <row r="405" spans="1:60" x14ac:dyDescent="0.2">
      <c r="A405" s="153" t="s">
        <v>138</v>
      </c>
      <c r="B405" s="154" t="s">
        <v>81</v>
      </c>
      <c r="C405" s="155" t="s">
        <v>82</v>
      </c>
      <c r="D405" s="156"/>
      <c r="E405" s="157"/>
      <c r="F405" s="197"/>
      <c r="G405" s="159">
        <f>SUMIF(AG406:AG421,"&lt;&gt;NOR",G406:G421)</f>
        <v>0</v>
      </c>
      <c r="H405" s="160"/>
      <c r="I405" s="160">
        <f>SUM(I406:I421)</f>
        <v>0</v>
      </c>
      <c r="J405" s="160"/>
      <c r="K405" s="160">
        <f>SUM(K406:K421)</f>
        <v>0</v>
      </c>
      <c r="L405" s="160"/>
      <c r="M405" s="160">
        <f>SUM(M406:M421)</f>
        <v>0</v>
      </c>
      <c r="N405" s="161"/>
      <c r="O405" s="161">
        <f>SUM(O406:O421)</f>
        <v>0.59000000000000008</v>
      </c>
      <c r="P405" s="161"/>
      <c r="Q405" s="161">
        <f>SUM(Q406:Q421)</f>
        <v>0</v>
      </c>
      <c r="R405" s="160"/>
      <c r="S405" s="160"/>
      <c r="T405" s="160"/>
      <c r="U405" s="160"/>
      <c r="V405" s="160">
        <f>SUM(V406:V421)</f>
        <v>84.27000000000001</v>
      </c>
      <c r="W405" s="160"/>
      <c r="X405" s="160"/>
      <c r="Y405" s="160"/>
      <c r="AG405" t="s">
        <v>139</v>
      </c>
    </row>
    <row r="406" spans="1:60" outlineLevel="1" x14ac:dyDescent="0.2">
      <c r="A406" s="162">
        <v>49</v>
      </c>
      <c r="B406" s="163" t="s">
        <v>450</v>
      </c>
      <c r="C406" s="164" t="s">
        <v>451</v>
      </c>
      <c r="D406" s="165" t="s">
        <v>159</v>
      </c>
      <c r="E406" s="166">
        <v>130.471</v>
      </c>
      <c r="F406" s="140"/>
      <c r="G406" s="167">
        <f>ROUND(E406*F406,2)</f>
        <v>0</v>
      </c>
      <c r="H406" s="168"/>
      <c r="I406" s="169">
        <f>ROUND(E406*H406,2)</f>
        <v>0</v>
      </c>
      <c r="J406" s="168"/>
      <c r="K406" s="169">
        <f>ROUND(E406*J406,2)</f>
        <v>0</v>
      </c>
      <c r="L406" s="169">
        <v>21</v>
      </c>
      <c r="M406" s="169">
        <f>G406*(1+L406/100)</f>
        <v>0</v>
      </c>
      <c r="N406" s="170">
        <v>2.1000000000000001E-4</v>
      </c>
      <c r="O406" s="170">
        <f>ROUND(E406*N406,2)</f>
        <v>0.03</v>
      </c>
      <c r="P406" s="170">
        <v>0</v>
      </c>
      <c r="Q406" s="170">
        <f>ROUND(E406*P406,2)</f>
        <v>0</v>
      </c>
      <c r="R406" s="169"/>
      <c r="S406" s="169" t="s">
        <v>143</v>
      </c>
      <c r="T406" s="169" t="s">
        <v>143</v>
      </c>
      <c r="U406" s="169">
        <v>9.5000000000000001E-2</v>
      </c>
      <c r="V406" s="169">
        <f>ROUND(E406*U406,2)</f>
        <v>12.39</v>
      </c>
      <c r="W406" s="169"/>
      <c r="X406" s="169" t="s">
        <v>144</v>
      </c>
      <c r="Y406" s="169" t="s">
        <v>145</v>
      </c>
      <c r="Z406" s="171"/>
      <c r="AA406" s="171"/>
      <c r="AB406" s="171"/>
      <c r="AC406" s="171"/>
      <c r="AD406" s="171"/>
      <c r="AE406" s="171"/>
      <c r="AF406" s="171"/>
      <c r="AG406" s="171" t="s">
        <v>146</v>
      </c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  <c r="AY406" s="171"/>
      <c r="AZ406" s="171"/>
      <c r="BA406" s="171"/>
      <c r="BB406" s="171"/>
      <c r="BC406" s="171"/>
      <c r="BD406" s="171"/>
      <c r="BE406" s="171"/>
      <c r="BF406" s="171"/>
      <c r="BG406" s="171"/>
      <c r="BH406" s="171"/>
    </row>
    <row r="407" spans="1:60" outlineLevel="2" x14ac:dyDescent="0.2">
      <c r="A407" s="172"/>
      <c r="B407" s="173"/>
      <c r="C407" s="174" t="s">
        <v>452</v>
      </c>
      <c r="D407" s="175"/>
      <c r="E407" s="176"/>
      <c r="F407" s="196"/>
      <c r="G407" s="169"/>
      <c r="H407" s="169"/>
      <c r="I407" s="169"/>
      <c r="J407" s="169"/>
      <c r="K407" s="169"/>
      <c r="L407" s="169"/>
      <c r="M407" s="169"/>
      <c r="N407" s="170"/>
      <c r="O407" s="170"/>
      <c r="P407" s="170"/>
      <c r="Q407" s="170"/>
      <c r="R407" s="169"/>
      <c r="S407" s="169"/>
      <c r="T407" s="169"/>
      <c r="U407" s="169"/>
      <c r="V407" s="169"/>
      <c r="W407" s="169"/>
      <c r="X407" s="169"/>
      <c r="Y407" s="169"/>
      <c r="Z407" s="171"/>
      <c r="AA407" s="171"/>
      <c r="AB407" s="171"/>
      <c r="AC407" s="171"/>
      <c r="AD407" s="171"/>
      <c r="AE407" s="171"/>
      <c r="AF407" s="171"/>
      <c r="AG407" s="171" t="s">
        <v>148</v>
      </c>
      <c r="AH407" s="171">
        <v>0</v>
      </c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  <c r="AY407" s="171"/>
      <c r="AZ407" s="171"/>
      <c r="BA407" s="171"/>
      <c r="BB407" s="171"/>
      <c r="BC407" s="171"/>
      <c r="BD407" s="171"/>
      <c r="BE407" s="171"/>
      <c r="BF407" s="171"/>
      <c r="BG407" s="171"/>
      <c r="BH407" s="171"/>
    </row>
    <row r="408" spans="1:60" outlineLevel="3" x14ac:dyDescent="0.2">
      <c r="A408" s="172"/>
      <c r="B408" s="173"/>
      <c r="C408" s="174" t="s">
        <v>453</v>
      </c>
      <c r="D408" s="175"/>
      <c r="E408" s="176">
        <v>118.61</v>
      </c>
      <c r="F408" s="196"/>
      <c r="G408" s="169"/>
      <c r="H408" s="169"/>
      <c r="I408" s="169"/>
      <c r="J408" s="169"/>
      <c r="K408" s="169"/>
      <c r="L408" s="169"/>
      <c r="M408" s="169"/>
      <c r="N408" s="170"/>
      <c r="O408" s="170"/>
      <c r="P408" s="170"/>
      <c r="Q408" s="170"/>
      <c r="R408" s="169"/>
      <c r="S408" s="169"/>
      <c r="T408" s="169"/>
      <c r="U408" s="169"/>
      <c r="V408" s="169"/>
      <c r="W408" s="169"/>
      <c r="X408" s="169"/>
      <c r="Y408" s="169"/>
      <c r="Z408" s="171"/>
      <c r="AA408" s="171"/>
      <c r="AB408" s="171"/>
      <c r="AC408" s="171"/>
      <c r="AD408" s="171"/>
      <c r="AE408" s="171"/>
      <c r="AF408" s="171"/>
      <c r="AG408" s="171" t="s">
        <v>148</v>
      </c>
      <c r="AH408" s="171">
        <v>0</v>
      </c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  <c r="AY408" s="171"/>
      <c r="AZ408" s="171"/>
      <c r="BA408" s="171"/>
      <c r="BB408" s="171"/>
      <c r="BC408" s="171"/>
      <c r="BD408" s="171"/>
      <c r="BE408" s="171"/>
      <c r="BF408" s="171"/>
      <c r="BG408" s="171"/>
      <c r="BH408" s="171"/>
    </row>
    <row r="409" spans="1:60" outlineLevel="3" x14ac:dyDescent="0.2">
      <c r="A409" s="172"/>
      <c r="B409" s="173"/>
      <c r="C409" s="174" t="s">
        <v>454</v>
      </c>
      <c r="D409" s="175"/>
      <c r="E409" s="176"/>
      <c r="F409" s="196"/>
      <c r="G409" s="169"/>
      <c r="H409" s="169"/>
      <c r="I409" s="169"/>
      <c r="J409" s="169"/>
      <c r="K409" s="169"/>
      <c r="L409" s="169"/>
      <c r="M409" s="169"/>
      <c r="N409" s="170"/>
      <c r="O409" s="170"/>
      <c r="P409" s="170"/>
      <c r="Q409" s="170"/>
      <c r="R409" s="169"/>
      <c r="S409" s="169"/>
      <c r="T409" s="169"/>
      <c r="U409" s="169"/>
      <c r="V409" s="169"/>
      <c r="W409" s="169"/>
      <c r="X409" s="169"/>
      <c r="Y409" s="169"/>
      <c r="Z409" s="171"/>
      <c r="AA409" s="171"/>
      <c r="AB409" s="171"/>
      <c r="AC409" s="171"/>
      <c r="AD409" s="171"/>
      <c r="AE409" s="171"/>
      <c r="AF409" s="171"/>
      <c r="AG409" s="171" t="s">
        <v>148</v>
      </c>
      <c r="AH409" s="171">
        <v>0</v>
      </c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  <c r="AY409" s="171"/>
      <c r="AZ409" s="171"/>
      <c r="BA409" s="171"/>
      <c r="BB409" s="171"/>
      <c r="BC409" s="171"/>
      <c r="BD409" s="171"/>
      <c r="BE409" s="171"/>
      <c r="BF409" s="171"/>
      <c r="BG409" s="171"/>
      <c r="BH409" s="171"/>
    </row>
    <row r="410" spans="1:60" outlineLevel="3" x14ac:dyDescent="0.2">
      <c r="A410" s="172"/>
      <c r="B410" s="173"/>
      <c r="C410" s="174" t="s">
        <v>455</v>
      </c>
      <c r="D410" s="175"/>
      <c r="E410" s="176">
        <v>11.861000000000001</v>
      </c>
      <c r="F410" s="196"/>
      <c r="G410" s="169"/>
      <c r="H410" s="169"/>
      <c r="I410" s="169"/>
      <c r="J410" s="169"/>
      <c r="K410" s="169"/>
      <c r="L410" s="169"/>
      <c r="M410" s="169"/>
      <c r="N410" s="170"/>
      <c r="O410" s="170"/>
      <c r="P410" s="170"/>
      <c r="Q410" s="170"/>
      <c r="R410" s="169"/>
      <c r="S410" s="169"/>
      <c r="T410" s="169"/>
      <c r="U410" s="169"/>
      <c r="V410" s="169"/>
      <c r="W410" s="169"/>
      <c r="X410" s="169"/>
      <c r="Y410" s="169"/>
      <c r="Z410" s="171"/>
      <c r="AA410" s="171"/>
      <c r="AB410" s="171"/>
      <c r="AC410" s="171"/>
      <c r="AD410" s="171"/>
      <c r="AE410" s="171"/>
      <c r="AF410" s="171"/>
      <c r="AG410" s="171" t="s">
        <v>148</v>
      </c>
      <c r="AH410" s="171">
        <v>0</v>
      </c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  <c r="AY410" s="171"/>
      <c r="AZ410" s="171"/>
      <c r="BA410" s="171"/>
      <c r="BB410" s="171"/>
      <c r="BC410" s="171"/>
      <c r="BD410" s="171"/>
      <c r="BE410" s="171"/>
      <c r="BF410" s="171"/>
      <c r="BG410" s="171"/>
      <c r="BH410" s="171"/>
    </row>
    <row r="411" spans="1:60" outlineLevel="1" x14ac:dyDescent="0.2">
      <c r="A411" s="177">
        <v>50</v>
      </c>
      <c r="B411" s="178" t="s">
        <v>456</v>
      </c>
      <c r="C411" s="179" t="s">
        <v>457</v>
      </c>
      <c r="D411" s="180" t="s">
        <v>159</v>
      </c>
      <c r="E411" s="181">
        <v>11.861000000000001</v>
      </c>
      <c r="F411" s="141"/>
      <c r="G411" s="182">
        <f>ROUND(E411*F411,2)</f>
        <v>0</v>
      </c>
      <c r="H411" s="168"/>
      <c r="I411" s="169">
        <f>ROUND(E411*H411,2)</f>
        <v>0</v>
      </c>
      <c r="J411" s="168"/>
      <c r="K411" s="169">
        <f>ROUND(E411*J411,2)</f>
        <v>0</v>
      </c>
      <c r="L411" s="169">
        <v>21</v>
      </c>
      <c r="M411" s="169">
        <f>G411*(1+L411/100)</f>
        <v>0</v>
      </c>
      <c r="N411" s="170">
        <v>1.2600000000000001E-3</v>
      </c>
      <c r="O411" s="170">
        <f>ROUND(E411*N411,2)</f>
        <v>0.01</v>
      </c>
      <c r="P411" s="170">
        <v>0</v>
      </c>
      <c r="Q411" s="170">
        <f>ROUND(E411*P411,2)</f>
        <v>0</v>
      </c>
      <c r="R411" s="169"/>
      <c r="S411" s="169" t="s">
        <v>143</v>
      </c>
      <c r="T411" s="169" t="s">
        <v>143</v>
      </c>
      <c r="U411" s="169">
        <v>0.24</v>
      </c>
      <c r="V411" s="169">
        <f>ROUND(E411*U411,2)</f>
        <v>2.85</v>
      </c>
      <c r="W411" s="169"/>
      <c r="X411" s="169" t="s">
        <v>144</v>
      </c>
      <c r="Y411" s="169" t="s">
        <v>145</v>
      </c>
      <c r="Z411" s="171"/>
      <c r="AA411" s="171"/>
      <c r="AB411" s="171"/>
      <c r="AC411" s="171"/>
      <c r="AD411" s="171"/>
      <c r="AE411" s="171"/>
      <c r="AF411" s="171"/>
      <c r="AG411" s="171" t="s">
        <v>146</v>
      </c>
      <c r="AH411" s="171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171"/>
      <c r="AT411" s="171"/>
      <c r="AU411" s="171"/>
      <c r="AV411" s="171"/>
      <c r="AW411" s="171"/>
      <c r="AX411" s="171"/>
      <c r="AY411" s="171"/>
      <c r="AZ411" s="171"/>
      <c r="BA411" s="171"/>
      <c r="BB411" s="171"/>
      <c r="BC411" s="171"/>
      <c r="BD411" s="171"/>
      <c r="BE411" s="171"/>
      <c r="BF411" s="171"/>
      <c r="BG411" s="171"/>
      <c r="BH411" s="171"/>
    </row>
    <row r="412" spans="1:60" outlineLevel="1" x14ac:dyDescent="0.2">
      <c r="A412" s="177">
        <v>51</v>
      </c>
      <c r="B412" s="178" t="s">
        <v>458</v>
      </c>
      <c r="C412" s="179" t="s">
        <v>459</v>
      </c>
      <c r="D412" s="180" t="s">
        <v>159</v>
      </c>
      <c r="E412" s="181">
        <v>118.61</v>
      </c>
      <c r="F412" s="141"/>
      <c r="G412" s="182">
        <f>ROUND(E412*F412,2)</f>
        <v>0</v>
      </c>
      <c r="H412" s="168"/>
      <c r="I412" s="169">
        <f>ROUND(E412*H412,2)</f>
        <v>0</v>
      </c>
      <c r="J412" s="168"/>
      <c r="K412" s="169">
        <f>ROUND(E412*J412,2)</f>
        <v>0</v>
      </c>
      <c r="L412" s="169">
        <v>21</v>
      </c>
      <c r="M412" s="169">
        <f>G412*(1+L412/100)</f>
        <v>0</v>
      </c>
      <c r="N412" s="170">
        <v>3.6800000000000001E-3</v>
      </c>
      <c r="O412" s="170">
        <f>ROUND(E412*N412,2)</f>
        <v>0.44</v>
      </c>
      <c r="P412" s="170">
        <v>0</v>
      </c>
      <c r="Q412" s="170">
        <f>ROUND(E412*P412,2)</f>
        <v>0</v>
      </c>
      <c r="R412" s="169"/>
      <c r="S412" s="169" t="s">
        <v>143</v>
      </c>
      <c r="T412" s="169" t="s">
        <v>143</v>
      </c>
      <c r="U412" s="169">
        <v>0.38500000000000001</v>
      </c>
      <c r="V412" s="169">
        <f>ROUND(E412*U412,2)</f>
        <v>45.66</v>
      </c>
      <c r="W412" s="169"/>
      <c r="X412" s="169" t="s">
        <v>144</v>
      </c>
      <c r="Y412" s="169" t="s">
        <v>145</v>
      </c>
      <c r="Z412" s="171"/>
      <c r="AA412" s="171"/>
      <c r="AB412" s="171"/>
      <c r="AC412" s="171"/>
      <c r="AD412" s="171"/>
      <c r="AE412" s="171"/>
      <c r="AF412" s="171"/>
      <c r="AG412" s="171" t="s">
        <v>146</v>
      </c>
      <c r="AH412" s="171"/>
      <c r="AI412" s="171"/>
      <c r="AJ412" s="171"/>
      <c r="AK412" s="171"/>
      <c r="AL412" s="171"/>
      <c r="AM412" s="171"/>
      <c r="AN412" s="171"/>
      <c r="AO412" s="171"/>
      <c r="AP412" s="171"/>
      <c r="AQ412" s="171"/>
      <c r="AR412" s="171"/>
      <c r="AS412" s="171"/>
      <c r="AT412" s="171"/>
      <c r="AU412" s="171"/>
      <c r="AV412" s="171"/>
      <c r="AW412" s="171"/>
      <c r="AX412" s="171"/>
      <c r="AY412" s="171"/>
      <c r="AZ412" s="171"/>
      <c r="BA412" s="171"/>
      <c r="BB412" s="171"/>
      <c r="BC412" s="171"/>
      <c r="BD412" s="171"/>
      <c r="BE412" s="171"/>
      <c r="BF412" s="171"/>
      <c r="BG412" s="171"/>
      <c r="BH412" s="171"/>
    </row>
    <row r="413" spans="1:60" outlineLevel="1" x14ac:dyDescent="0.2">
      <c r="A413" s="177">
        <v>52</v>
      </c>
      <c r="B413" s="178" t="s">
        <v>460</v>
      </c>
      <c r="C413" s="179" t="s">
        <v>461</v>
      </c>
      <c r="D413" s="180" t="s">
        <v>375</v>
      </c>
      <c r="E413" s="181">
        <v>118.61</v>
      </c>
      <c r="F413" s="141"/>
      <c r="G413" s="182">
        <f>ROUND(E413*F413,2)</f>
        <v>0</v>
      </c>
      <c r="H413" s="168"/>
      <c r="I413" s="169">
        <f>ROUND(E413*H413,2)</f>
        <v>0</v>
      </c>
      <c r="J413" s="168"/>
      <c r="K413" s="169">
        <f>ROUND(E413*J413,2)</f>
        <v>0</v>
      </c>
      <c r="L413" s="169">
        <v>21</v>
      </c>
      <c r="M413" s="169">
        <f>G413*(1+L413/100)</f>
        <v>0</v>
      </c>
      <c r="N413" s="170">
        <v>3.2000000000000003E-4</v>
      </c>
      <c r="O413" s="170">
        <f>ROUND(E413*N413,2)</f>
        <v>0.04</v>
      </c>
      <c r="P413" s="170">
        <v>0</v>
      </c>
      <c r="Q413" s="170">
        <f>ROUND(E413*P413,2)</f>
        <v>0</v>
      </c>
      <c r="R413" s="169"/>
      <c r="S413" s="169" t="s">
        <v>143</v>
      </c>
      <c r="T413" s="169" t="s">
        <v>143</v>
      </c>
      <c r="U413" s="169">
        <v>0.11</v>
      </c>
      <c r="V413" s="169">
        <f>ROUND(E413*U413,2)</f>
        <v>13.05</v>
      </c>
      <c r="W413" s="169"/>
      <c r="X413" s="169" t="s">
        <v>144</v>
      </c>
      <c r="Y413" s="169" t="s">
        <v>145</v>
      </c>
      <c r="Z413" s="171"/>
      <c r="AA413" s="171"/>
      <c r="AB413" s="171"/>
      <c r="AC413" s="171"/>
      <c r="AD413" s="171"/>
      <c r="AE413" s="171"/>
      <c r="AF413" s="171"/>
      <c r="AG413" s="171" t="s">
        <v>146</v>
      </c>
      <c r="AH413" s="171"/>
      <c r="AI413" s="171"/>
      <c r="AJ413" s="171"/>
      <c r="AK413" s="171"/>
      <c r="AL413" s="171"/>
      <c r="AM413" s="171"/>
      <c r="AN413" s="171"/>
      <c r="AO413" s="171"/>
      <c r="AP413" s="171"/>
      <c r="AQ413" s="171"/>
      <c r="AR413" s="171"/>
      <c r="AS413" s="171"/>
      <c r="AT413" s="171"/>
      <c r="AU413" s="171"/>
      <c r="AV413" s="171"/>
      <c r="AW413" s="171"/>
      <c r="AX413" s="171"/>
      <c r="AY413" s="171"/>
      <c r="AZ413" s="171"/>
      <c r="BA413" s="171"/>
      <c r="BB413" s="171"/>
      <c r="BC413" s="171"/>
      <c r="BD413" s="171"/>
      <c r="BE413" s="171"/>
      <c r="BF413" s="171"/>
      <c r="BG413" s="171"/>
      <c r="BH413" s="171"/>
    </row>
    <row r="414" spans="1:60" outlineLevel="1" x14ac:dyDescent="0.2">
      <c r="A414" s="162">
        <v>53</v>
      </c>
      <c r="B414" s="163" t="s">
        <v>462</v>
      </c>
      <c r="C414" s="164" t="s">
        <v>463</v>
      </c>
      <c r="D414" s="165" t="s">
        <v>230</v>
      </c>
      <c r="E414" s="166">
        <v>154</v>
      </c>
      <c r="F414" s="140"/>
      <c r="G414" s="167">
        <f>ROUND(E414*F414,2)</f>
        <v>0</v>
      </c>
      <c r="H414" s="168"/>
      <c r="I414" s="169">
        <f>ROUND(E414*H414,2)</f>
        <v>0</v>
      </c>
      <c r="J414" s="168"/>
      <c r="K414" s="169">
        <f>ROUND(E414*J414,2)</f>
        <v>0</v>
      </c>
      <c r="L414" s="169">
        <v>21</v>
      </c>
      <c r="M414" s="169">
        <f>G414*(1+L414/100)</f>
        <v>0</v>
      </c>
      <c r="N414" s="170">
        <v>4.2999999999999999E-4</v>
      </c>
      <c r="O414" s="170">
        <f>ROUND(E414*N414,2)</f>
        <v>7.0000000000000007E-2</v>
      </c>
      <c r="P414" s="170">
        <v>0</v>
      </c>
      <c r="Q414" s="170">
        <f>ROUND(E414*P414,2)</f>
        <v>0</v>
      </c>
      <c r="R414" s="169"/>
      <c r="S414" s="169" t="s">
        <v>143</v>
      </c>
      <c r="T414" s="169" t="s">
        <v>143</v>
      </c>
      <c r="U414" s="169">
        <v>6.7000000000000004E-2</v>
      </c>
      <c r="V414" s="169">
        <f>ROUND(E414*U414,2)</f>
        <v>10.32</v>
      </c>
      <c r="W414" s="169"/>
      <c r="X414" s="169" t="s">
        <v>144</v>
      </c>
      <c r="Y414" s="169" t="s">
        <v>145</v>
      </c>
      <c r="Z414" s="171"/>
      <c r="AA414" s="171"/>
      <c r="AB414" s="171"/>
      <c r="AC414" s="171"/>
      <c r="AD414" s="171"/>
      <c r="AE414" s="171"/>
      <c r="AF414" s="171"/>
      <c r="AG414" s="171" t="s">
        <v>146</v>
      </c>
      <c r="AH414" s="171"/>
      <c r="AI414" s="171"/>
      <c r="AJ414" s="171"/>
      <c r="AK414" s="171"/>
      <c r="AL414" s="171"/>
      <c r="AM414" s="171"/>
      <c r="AN414" s="171"/>
      <c r="AO414" s="171"/>
      <c r="AP414" s="171"/>
      <c r="AQ414" s="171"/>
      <c r="AR414" s="171"/>
      <c r="AS414" s="171"/>
      <c r="AT414" s="171"/>
      <c r="AU414" s="171"/>
      <c r="AV414" s="171"/>
      <c r="AW414" s="171"/>
      <c r="AX414" s="171"/>
      <c r="AY414" s="171"/>
      <c r="AZ414" s="171"/>
      <c r="BA414" s="171"/>
      <c r="BB414" s="171"/>
      <c r="BC414" s="171"/>
      <c r="BD414" s="171"/>
      <c r="BE414" s="171"/>
      <c r="BF414" s="171"/>
      <c r="BG414" s="171"/>
      <c r="BH414" s="171"/>
    </row>
    <row r="415" spans="1:60" outlineLevel="2" x14ac:dyDescent="0.2">
      <c r="A415" s="172"/>
      <c r="B415" s="173"/>
      <c r="C415" s="174" t="s">
        <v>149</v>
      </c>
      <c r="D415" s="175"/>
      <c r="E415" s="176"/>
      <c r="F415" s="196"/>
      <c r="G415" s="169"/>
      <c r="H415" s="169"/>
      <c r="I415" s="169"/>
      <c r="J415" s="169"/>
      <c r="K415" s="169"/>
      <c r="L415" s="169"/>
      <c r="M415" s="169"/>
      <c r="N415" s="170"/>
      <c r="O415" s="170"/>
      <c r="P415" s="170"/>
      <c r="Q415" s="170"/>
      <c r="R415" s="169"/>
      <c r="S415" s="169"/>
      <c r="T415" s="169"/>
      <c r="U415" s="169"/>
      <c r="V415" s="169"/>
      <c r="W415" s="169"/>
      <c r="X415" s="169"/>
      <c r="Y415" s="169"/>
      <c r="Z415" s="171"/>
      <c r="AA415" s="171"/>
      <c r="AB415" s="171"/>
      <c r="AC415" s="171"/>
      <c r="AD415" s="171"/>
      <c r="AE415" s="171"/>
      <c r="AF415" s="171"/>
      <c r="AG415" s="171" t="s">
        <v>148</v>
      </c>
      <c r="AH415" s="171">
        <v>0</v>
      </c>
      <c r="AI415" s="171"/>
      <c r="AJ415" s="171"/>
      <c r="AK415" s="171"/>
      <c r="AL415" s="171"/>
      <c r="AM415" s="171"/>
      <c r="AN415" s="171"/>
      <c r="AO415" s="171"/>
      <c r="AP415" s="171"/>
      <c r="AQ415" s="171"/>
      <c r="AR415" s="171"/>
      <c r="AS415" s="171"/>
      <c r="AT415" s="171"/>
      <c r="AU415" s="171"/>
      <c r="AV415" s="171"/>
      <c r="AW415" s="171"/>
      <c r="AX415" s="171"/>
      <c r="AY415" s="171"/>
      <c r="AZ415" s="171"/>
      <c r="BA415" s="171"/>
      <c r="BB415" s="171"/>
      <c r="BC415" s="171"/>
      <c r="BD415" s="171"/>
      <c r="BE415" s="171"/>
      <c r="BF415" s="171"/>
      <c r="BG415" s="171"/>
      <c r="BH415" s="171"/>
    </row>
    <row r="416" spans="1:60" outlineLevel="3" x14ac:dyDescent="0.2">
      <c r="A416" s="172"/>
      <c r="B416" s="173"/>
      <c r="C416" s="174" t="s">
        <v>464</v>
      </c>
      <c r="D416" s="175"/>
      <c r="E416" s="176">
        <v>50</v>
      </c>
      <c r="F416" s="196"/>
      <c r="G416" s="169"/>
      <c r="H416" s="169"/>
      <c r="I416" s="169"/>
      <c r="J416" s="169"/>
      <c r="K416" s="169"/>
      <c r="L416" s="169"/>
      <c r="M416" s="169"/>
      <c r="N416" s="170"/>
      <c r="O416" s="170"/>
      <c r="P416" s="170"/>
      <c r="Q416" s="170"/>
      <c r="R416" s="169"/>
      <c r="S416" s="169"/>
      <c r="T416" s="169"/>
      <c r="U416" s="169"/>
      <c r="V416" s="169"/>
      <c r="W416" s="169"/>
      <c r="X416" s="169"/>
      <c r="Y416" s="169"/>
      <c r="Z416" s="171"/>
      <c r="AA416" s="171"/>
      <c r="AB416" s="171"/>
      <c r="AC416" s="171"/>
      <c r="AD416" s="171"/>
      <c r="AE416" s="171"/>
      <c r="AF416" s="171"/>
      <c r="AG416" s="171" t="s">
        <v>148</v>
      </c>
      <c r="AH416" s="171">
        <v>0</v>
      </c>
      <c r="AI416" s="171"/>
      <c r="AJ416" s="171"/>
      <c r="AK416" s="171"/>
      <c r="AL416" s="171"/>
      <c r="AM416" s="171"/>
      <c r="AN416" s="171"/>
      <c r="AO416" s="171"/>
      <c r="AP416" s="171"/>
      <c r="AQ416" s="171"/>
      <c r="AR416" s="171"/>
      <c r="AS416" s="171"/>
      <c r="AT416" s="171"/>
      <c r="AU416" s="171"/>
      <c r="AV416" s="171"/>
      <c r="AW416" s="171"/>
      <c r="AX416" s="171"/>
      <c r="AY416" s="171"/>
      <c r="AZ416" s="171"/>
      <c r="BA416" s="171"/>
      <c r="BB416" s="171"/>
      <c r="BC416" s="171"/>
      <c r="BD416" s="171"/>
      <c r="BE416" s="171"/>
      <c r="BF416" s="171"/>
      <c r="BG416" s="171"/>
      <c r="BH416" s="171"/>
    </row>
    <row r="417" spans="1:60" outlineLevel="3" x14ac:dyDescent="0.2">
      <c r="A417" s="172"/>
      <c r="B417" s="173"/>
      <c r="C417" s="174" t="s">
        <v>151</v>
      </c>
      <c r="D417" s="175"/>
      <c r="E417" s="176"/>
      <c r="F417" s="196"/>
      <c r="G417" s="169"/>
      <c r="H417" s="169"/>
      <c r="I417" s="169"/>
      <c r="J417" s="169"/>
      <c r="K417" s="169"/>
      <c r="L417" s="169"/>
      <c r="M417" s="169"/>
      <c r="N417" s="170"/>
      <c r="O417" s="170"/>
      <c r="P417" s="170"/>
      <c r="Q417" s="170"/>
      <c r="R417" s="169"/>
      <c r="S417" s="169"/>
      <c r="T417" s="169"/>
      <c r="U417" s="169"/>
      <c r="V417" s="169"/>
      <c r="W417" s="169"/>
      <c r="X417" s="169"/>
      <c r="Y417" s="169"/>
      <c r="Z417" s="171"/>
      <c r="AA417" s="171"/>
      <c r="AB417" s="171"/>
      <c r="AC417" s="171"/>
      <c r="AD417" s="171"/>
      <c r="AE417" s="171"/>
      <c r="AF417" s="171"/>
      <c r="AG417" s="171" t="s">
        <v>148</v>
      </c>
      <c r="AH417" s="171">
        <v>0</v>
      </c>
      <c r="AI417" s="171"/>
      <c r="AJ417" s="171"/>
      <c r="AK417" s="171"/>
      <c r="AL417" s="171"/>
      <c r="AM417" s="171"/>
      <c r="AN417" s="171"/>
      <c r="AO417" s="171"/>
      <c r="AP417" s="171"/>
      <c r="AQ417" s="171"/>
      <c r="AR417" s="171"/>
      <c r="AS417" s="171"/>
      <c r="AT417" s="171"/>
      <c r="AU417" s="171"/>
      <c r="AV417" s="171"/>
      <c r="AW417" s="171"/>
      <c r="AX417" s="171"/>
      <c r="AY417" s="171"/>
      <c r="AZ417" s="171"/>
      <c r="BA417" s="171"/>
      <c r="BB417" s="171"/>
      <c r="BC417" s="171"/>
      <c r="BD417" s="171"/>
      <c r="BE417" s="171"/>
      <c r="BF417" s="171"/>
      <c r="BG417" s="171"/>
      <c r="BH417" s="171"/>
    </row>
    <row r="418" spans="1:60" outlineLevel="3" x14ac:dyDescent="0.2">
      <c r="A418" s="172"/>
      <c r="B418" s="173"/>
      <c r="C418" s="174" t="s">
        <v>465</v>
      </c>
      <c r="D418" s="175"/>
      <c r="E418" s="176">
        <v>52</v>
      </c>
      <c r="F418" s="196"/>
      <c r="G418" s="169"/>
      <c r="H418" s="169"/>
      <c r="I418" s="169"/>
      <c r="J418" s="169"/>
      <c r="K418" s="169"/>
      <c r="L418" s="169"/>
      <c r="M418" s="169"/>
      <c r="N418" s="170"/>
      <c r="O418" s="170"/>
      <c r="P418" s="170"/>
      <c r="Q418" s="170"/>
      <c r="R418" s="169"/>
      <c r="S418" s="169"/>
      <c r="T418" s="169"/>
      <c r="U418" s="169"/>
      <c r="V418" s="169"/>
      <c r="W418" s="169"/>
      <c r="X418" s="169"/>
      <c r="Y418" s="169"/>
      <c r="Z418" s="171"/>
      <c r="AA418" s="171"/>
      <c r="AB418" s="171"/>
      <c r="AC418" s="171"/>
      <c r="AD418" s="171"/>
      <c r="AE418" s="171"/>
      <c r="AF418" s="171"/>
      <c r="AG418" s="171" t="s">
        <v>148</v>
      </c>
      <c r="AH418" s="171">
        <v>0</v>
      </c>
      <c r="AI418" s="171"/>
      <c r="AJ418" s="171"/>
      <c r="AK418" s="171"/>
      <c r="AL418" s="171"/>
      <c r="AM418" s="171"/>
      <c r="AN418" s="171"/>
      <c r="AO418" s="171"/>
      <c r="AP418" s="171"/>
      <c r="AQ418" s="171"/>
      <c r="AR418" s="171"/>
      <c r="AS418" s="171"/>
      <c r="AT418" s="171"/>
      <c r="AU418" s="171"/>
      <c r="AV418" s="171"/>
      <c r="AW418" s="171"/>
      <c r="AX418" s="171"/>
      <c r="AY418" s="171"/>
      <c r="AZ418" s="171"/>
      <c r="BA418" s="171"/>
      <c r="BB418" s="171"/>
      <c r="BC418" s="171"/>
      <c r="BD418" s="171"/>
      <c r="BE418" s="171"/>
      <c r="BF418" s="171"/>
      <c r="BG418" s="171"/>
      <c r="BH418" s="171"/>
    </row>
    <row r="419" spans="1:60" outlineLevel="3" x14ac:dyDescent="0.2">
      <c r="A419" s="172"/>
      <c r="B419" s="173"/>
      <c r="C419" s="174" t="s">
        <v>152</v>
      </c>
      <c r="D419" s="175"/>
      <c r="E419" s="176"/>
      <c r="F419" s="196"/>
      <c r="G419" s="169"/>
      <c r="H419" s="169"/>
      <c r="I419" s="169"/>
      <c r="J419" s="169"/>
      <c r="K419" s="169"/>
      <c r="L419" s="169"/>
      <c r="M419" s="169"/>
      <c r="N419" s="170"/>
      <c r="O419" s="170"/>
      <c r="P419" s="170"/>
      <c r="Q419" s="170"/>
      <c r="R419" s="169"/>
      <c r="S419" s="169"/>
      <c r="T419" s="169"/>
      <c r="U419" s="169"/>
      <c r="V419" s="169"/>
      <c r="W419" s="169"/>
      <c r="X419" s="169"/>
      <c r="Y419" s="169"/>
      <c r="Z419" s="171"/>
      <c r="AA419" s="171"/>
      <c r="AB419" s="171"/>
      <c r="AC419" s="171"/>
      <c r="AD419" s="171"/>
      <c r="AE419" s="171"/>
      <c r="AF419" s="171"/>
      <c r="AG419" s="171" t="s">
        <v>148</v>
      </c>
      <c r="AH419" s="171">
        <v>0</v>
      </c>
      <c r="AI419" s="171"/>
      <c r="AJ419" s="171"/>
      <c r="AK419" s="171"/>
      <c r="AL419" s="171"/>
      <c r="AM419" s="171"/>
      <c r="AN419" s="171"/>
      <c r="AO419" s="171"/>
      <c r="AP419" s="171"/>
      <c r="AQ419" s="171"/>
      <c r="AR419" s="171"/>
      <c r="AS419" s="171"/>
      <c r="AT419" s="171"/>
      <c r="AU419" s="171"/>
      <c r="AV419" s="171"/>
      <c r="AW419" s="171"/>
      <c r="AX419" s="171"/>
      <c r="AY419" s="171"/>
      <c r="AZ419" s="171"/>
      <c r="BA419" s="171"/>
      <c r="BB419" s="171"/>
      <c r="BC419" s="171"/>
      <c r="BD419" s="171"/>
      <c r="BE419" s="171"/>
      <c r="BF419" s="171"/>
      <c r="BG419" s="171"/>
      <c r="BH419" s="171"/>
    </row>
    <row r="420" spans="1:60" outlineLevel="3" x14ac:dyDescent="0.2">
      <c r="A420" s="172"/>
      <c r="B420" s="173"/>
      <c r="C420" s="174" t="s">
        <v>465</v>
      </c>
      <c r="D420" s="175"/>
      <c r="E420" s="176">
        <v>52</v>
      </c>
      <c r="F420" s="196"/>
      <c r="G420" s="169"/>
      <c r="H420" s="169"/>
      <c r="I420" s="169"/>
      <c r="J420" s="169"/>
      <c r="K420" s="169"/>
      <c r="L420" s="169"/>
      <c r="M420" s="169"/>
      <c r="N420" s="170"/>
      <c r="O420" s="170"/>
      <c r="P420" s="170"/>
      <c r="Q420" s="170"/>
      <c r="R420" s="169"/>
      <c r="S420" s="169"/>
      <c r="T420" s="169"/>
      <c r="U420" s="169"/>
      <c r="V420" s="169"/>
      <c r="W420" s="169"/>
      <c r="X420" s="169"/>
      <c r="Y420" s="169"/>
      <c r="Z420" s="171"/>
      <c r="AA420" s="171"/>
      <c r="AB420" s="171"/>
      <c r="AC420" s="171"/>
      <c r="AD420" s="171"/>
      <c r="AE420" s="171"/>
      <c r="AF420" s="171"/>
      <c r="AG420" s="171" t="s">
        <v>148</v>
      </c>
      <c r="AH420" s="171">
        <v>0</v>
      </c>
      <c r="AI420" s="171"/>
      <c r="AJ420" s="171"/>
      <c r="AK420" s="171"/>
      <c r="AL420" s="171"/>
      <c r="AM420" s="171"/>
      <c r="AN420" s="171"/>
      <c r="AO420" s="171"/>
      <c r="AP420" s="171"/>
      <c r="AQ420" s="171"/>
      <c r="AR420" s="171"/>
      <c r="AS420" s="171"/>
      <c r="AT420" s="171"/>
      <c r="AU420" s="171"/>
      <c r="AV420" s="171"/>
      <c r="AW420" s="171"/>
      <c r="AX420" s="171"/>
      <c r="AY420" s="171"/>
      <c r="AZ420" s="171"/>
      <c r="BA420" s="171"/>
      <c r="BB420" s="171"/>
      <c r="BC420" s="171"/>
      <c r="BD420" s="171"/>
      <c r="BE420" s="171"/>
      <c r="BF420" s="171"/>
      <c r="BG420" s="171"/>
      <c r="BH420" s="171"/>
    </row>
    <row r="421" spans="1:60" outlineLevel="1" x14ac:dyDescent="0.2">
      <c r="A421" s="172">
        <v>54</v>
      </c>
      <c r="B421" s="173" t="s">
        <v>466</v>
      </c>
      <c r="C421" s="186" t="s">
        <v>467</v>
      </c>
      <c r="D421" s="187" t="s">
        <v>0</v>
      </c>
      <c r="E421" s="142"/>
      <c r="F421" s="139"/>
      <c r="G421" s="169">
        <f>ROUND(E421*F421,2)</f>
        <v>0</v>
      </c>
      <c r="H421" s="168"/>
      <c r="I421" s="169">
        <f>ROUND(E421*H421,2)</f>
        <v>0</v>
      </c>
      <c r="J421" s="168"/>
      <c r="K421" s="169">
        <f>ROUND(E421*J421,2)</f>
        <v>0</v>
      </c>
      <c r="L421" s="169">
        <v>21</v>
      </c>
      <c r="M421" s="169">
        <f>G421*(1+L421/100)</f>
        <v>0</v>
      </c>
      <c r="N421" s="170">
        <v>0</v>
      </c>
      <c r="O421" s="170">
        <f>ROUND(E421*N421,2)</f>
        <v>0</v>
      </c>
      <c r="P421" s="170">
        <v>0</v>
      </c>
      <c r="Q421" s="170">
        <f>ROUND(E421*P421,2)</f>
        <v>0</v>
      </c>
      <c r="R421" s="169"/>
      <c r="S421" s="169" t="s">
        <v>143</v>
      </c>
      <c r="T421" s="169" t="s">
        <v>143</v>
      </c>
      <c r="U421" s="169">
        <v>0</v>
      </c>
      <c r="V421" s="169">
        <f>ROUND(E421*U421,2)</f>
        <v>0</v>
      </c>
      <c r="W421" s="169"/>
      <c r="X421" s="169" t="s">
        <v>448</v>
      </c>
      <c r="Y421" s="169" t="s">
        <v>145</v>
      </c>
      <c r="Z421" s="171"/>
      <c r="AA421" s="171"/>
      <c r="AB421" s="171"/>
      <c r="AC421" s="171"/>
      <c r="AD421" s="171"/>
      <c r="AE421" s="171"/>
      <c r="AF421" s="171"/>
      <c r="AG421" s="171" t="s">
        <v>449</v>
      </c>
      <c r="AH421" s="171"/>
      <c r="AI421" s="171"/>
      <c r="AJ421" s="171"/>
      <c r="AK421" s="171"/>
      <c r="AL421" s="171"/>
      <c r="AM421" s="171"/>
      <c r="AN421" s="171"/>
      <c r="AO421" s="171"/>
      <c r="AP421" s="171"/>
      <c r="AQ421" s="171"/>
      <c r="AR421" s="171"/>
      <c r="AS421" s="171"/>
      <c r="AT421" s="171"/>
      <c r="AU421" s="171"/>
      <c r="AV421" s="171"/>
      <c r="AW421" s="171"/>
      <c r="AX421" s="171"/>
      <c r="AY421" s="171"/>
      <c r="AZ421" s="171"/>
      <c r="BA421" s="171"/>
      <c r="BB421" s="171"/>
      <c r="BC421" s="171"/>
      <c r="BD421" s="171"/>
      <c r="BE421" s="171"/>
      <c r="BF421" s="171"/>
      <c r="BG421" s="171"/>
      <c r="BH421" s="171"/>
    </row>
    <row r="422" spans="1:60" x14ac:dyDescent="0.2">
      <c r="A422" s="153" t="s">
        <v>138</v>
      </c>
      <c r="B422" s="154" t="s">
        <v>83</v>
      </c>
      <c r="C422" s="155" t="s">
        <v>84</v>
      </c>
      <c r="D422" s="156"/>
      <c r="E422" s="157"/>
      <c r="F422" s="197"/>
      <c r="G422" s="159">
        <f>SUMIF(AG423:AG439,"&lt;&gt;NOR",G423:G439)</f>
        <v>0</v>
      </c>
      <c r="H422" s="160"/>
      <c r="I422" s="160">
        <f>SUM(I423:I439)</f>
        <v>0</v>
      </c>
      <c r="J422" s="160"/>
      <c r="K422" s="160">
        <f>SUM(K423:K439)</f>
        <v>0</v>
      </c>
      <c r="L422" s="160"/>
      <c r="M422" s="160">
        <f>SUM(M423:M439)</f>
        <v>0</v>
      </c>
      <c r="N422" s="161"/>
      <c r="O422" s="161">
        <f>SUM(O423:O439)</f>
        <v>0</v>
      </c>
      <c r="P422" s="161"/>
      <c r="Q422" s="161">
        <f>SUM(Q423:Q439)</f>
        <v>0</v>
      </c>
      <c r="R422" s="160"/>
      <c r="S422" s="160"/>
      <c r="T422" s="160"/>
      <c r="U422" s="160"/>
      <c r="V422" s="160">
        <f>SUM(V423:V439)</f>
        <v>0.21</v>
      </c>
      <c r="W422" s="160"/>
      <c r="X422" s="160"/>
      <c r="Y422" s="160"/>
      <c r="AG422" t="s">
        <v>139</v>
      </c>
    </row>
    <row r="423" spans="1:60" outlineLevel="1" x14ac:dyDescent="0.2">
      <c r="A423" s="162">
        <v>55</v>
      </c>
      <c r="B423" s="163" t="s">
        <v>468</v>
      </c>
      <c r="C423" s="164" t="s">
        <v>469</v>
      </c>
      <c r="D423" s="165" t="s">
        <v>159</v>
      </c>
      <c r="E423" s="166">
        <v>1.38</v>
      </c>
      <c r="F423" s="140"/>
      <c r="G423" s="167">
        <f>ROUND(E423*F423,2)</f>
        <v>0</v>
      </c>
      <c r="H423" s="168"/>
      <c r="I423" s="169">
        <f>ROUND(E423*H423,2)</f>
        <v>0</v>
      </c>
      <c r="J423" s="168"/>
      <c r="K423" s="169">
        <f>ROUND(E423*J423,2)</f>
        <v>0</v>
      </c>
      <c r="L423" s="169">
        <v>21</v>
      </c>
      <c r="M423" s="169">
        <f>G423*(1+L423/100)</f>
        <v>0</v>
      </c>
      <c r="N423" s="170">
        <v>0</v>
      </c>
      <c r="O423" s="170">
        <f>ROUND(E423*N423,2)</f>
        <v>0</v>
      </c>
      <c r="P423" s="170">
        <v>2.3E-3</v>
      </c>
      <c r="Q423" s="170">
        <f>ROUND(E423*P423,2)</f>
        <v>0</v>
      </c>
      <c r="R423" s="169"/>
      <c r="S423" s="169" t="s">
        <v>143</v>
      </c>
      <c r="T423" s="169" t="s">
        <v>143</v>
      </c>
      <c r="U423" s="169">
        <v>4.2999999999999997E-2</v>
      </c>
      <c r="V423" s="169">
        <f>ROUND(E423*U423,2)</f>
        <v>0.06</v>
      </c>
      <c r="W423" s="169"/>
      <c r="X423" s="169" t="s">
        <v>144</v>
      </c>
      <c r="Y423" s="169" t="s">
        <v>145</v>
      </c>
      <c r="Z423" s="171"/>
      <c r="AA423" s="171"/>
      <c r="AB423" s="171"/>
      <c r="AC423" s="171"/>
      <c r="AD423" s="171"/>
      <c r="AE423" s="171"/>
      <c r="AF423" s="171"/>
      <c r="AG423" s="171" t="s">
        <v>146</v>
      </c>
      <c r="AH423" s="171"/>
      <c r="AI423" s="171"/>
      <c r="AJ423" s="171"/>
      <c r="AK423" s="171"/>
      <c r="AL423" s="171"/>
      <c r="AM423" s="171"/>
      <c r="AN423" s="171"/>
      <c r="AO423" s="171"/>
      <c r="AP423" s="171"/>
      <c r="AQ423" s="171"/>
      <c r="AR423" s="171"/>
      <c r="AS423" s="171"/>
      <c r="AT423" s="171"/>
      <c r="AU423" s="171"/>
      <c r="AV423" s="171"/>
      <c r="AW423" s="171"/>
      <c r="AX423" s="171"/>
      <c r="AY423" s="171"/>
      <c r="AZ423" s="171"/>
      <c r="BA423" s="171"/>
      <c r="BB423" s="171"/>
      <c r="BC423" s="171"/>
      <c r="BD423" s="171"/>
      <c r="BE423" s="171"/>
      <c r="BF423" s="171"/>
      <c r="BG423" s="171"/>
      <c r="BH423" s="171"/>
    </row>
    <row r="424" spans="1:60" outlineLevel="2" x14ac:dyDescent="0.2">
      <c r="A424" s="172"/>
      <c r="B424" s="173"/>
      <c r="C424" s="174" t="s">
        <v>149</v>
      </c>
      <c r="D424" s="175"/>
      <c r="E424" s="176"/>
      <c r="F424" s="196"/>
      <c r="G424" s="169"/>
      <c r="H424" s="169"/>
      <c r="I424" s="169"/>
      <c r="J424" s="169"/>
      <c r="K424" s="169"/>
      <c r="L424" s="169"/>
      <c r="M424" s="169"/>
      <c r="N424" s="170"/>
      <c r="O424" s="170"/>
      <c r="P424" s="170"/>
      <c r="Q424" s="170"/>
      <c r="R424" s="169"/>
      <c r="S424" s="169"/>
      <c r="T424" s="169"/>
      <c r="U424" s="169"/>
      <c r="V424" s="169"/>
      <c r="W424" s="169"/>
      <c r="X424" s="169"/>
      <c r="Y424" s="169"/>
      <c r="Z424" s="171"/>
      <c r="AA424" s="171"/>
      <c r="AB424" s="171"/>
      <c r="AC424" s="171"/>
      <c r="AD424" s="171"/>
      <c r="AE424" s="171"/>
      <c r="AF424" s="171"/>
      <c r="AG424" s="171" t="s">
        <v>148</v>
      </c>
      <c r="AH424" s="171">
        <v>0</v>
      </c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1"/>
      <c r="AT424" s="171"/>
      <c r="AU424" s="171"/>
      <c r="AV424" s="171"/>
      <c r="AW424" s="171"/>
      <c r="AX424" s="171"/>
      <c r="AY424" s="171"/>
      <c r="AZ424" s="171"/>
      <c r="BA424" s="171"/>
      <c r="BB424" s="171"/>
      <c r="BC424" s="171"/>
      <c r="BD424" s="171"/>
      <c r="BE424" s="171"/>
      <c r="BF424" s="171"/>
      <c r="BG424" s="171"/>
      <c r="BH424" s="171"/>
    </row>
    <row r="425" spans="1:60" outlineLevel="3" x14ac:dyDescent="0.2">
      <c r="A425" s="172"/>
      <c r="B425" s="173"/>
      <c r="C425" s="174" t="s">
        <v>470</v>
      </c>
      <c r="D425" s="175"/>
      <c r="E425" s="176">
        <v>1.38</v>
      </c>
      <c r="F425" s="196"/>
      <c r="G425" s="169"/>
      <c r="H425" s="169"/>
      <c r="I425" s="169"/>
      <c r="J425" s="169"/>
      <c r="K425" s="169"/>
      <c r="L425" s="169"/>
      <c r="M425" s="169"/>
      <c r="N425" s="170"/>
      <c r="O425" s="170"/>
      <c r="P425" s="170"/>
      <c r="Q425" s="170"/>
      <c r="R425" s="169"/>
      <c r="S425" s="169"/>
      <c r="T425" s="169"/>
      <c r="U425" s="169"/>
      <c r="V425" s="169"/>
      <c r="W425" s="169"/>
      <c r="X425" s="169"/>
      <c r="Y425" s="169"/>
      <c r="Z425" s="171"/>
      <c r="AA425" s="171"/>
      <c r="AB425" s="171"/>
      <c r="AC425" s="171"/>
      <c r="AD425" s="171"/>
      <c r="AE425" s="171"/>
      <c r="AF425" s="171"/>
      <c r="AG425" s="171" t="s">
        <v>148</v>
      </c>
      <c r="AH425" s="171">
        <v>0</v>
      </c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71"/>
      <c r="AT425" s="171"/>
      <c r="AU425" s="171"/>
      <c r="AV425" s="171"/>
      <c r="AW425" s="171"/>
      <c r="AX425" s="171"/>
      <c r="AY425" s="171"/>
      <c r="AZ425" s="171"/>
      <c r="BA425" s="171"/>
      <c r="BB425" s="171"/>
      <c r="BC425" s="171"/>
      <c r="BD425" s="171"/>
      <c r="BE425" s="171"/>
      <c r="BF425" s="171"/>
      <c r="BG425" s="171"/>
      <c r="BH425" s="171"/>
    </row>
    <row r="426" spans="1:60" outlineLevel="1" x14ac:dyDescent="0.2">
      <c r="A426" s="162">
        <v>56</v>
      </c>
      <c r="B426" s="163" t="s">
        <v>471</v>
      </c>
      <c r="C426" s="164" t="s">
        <v>472</v>
      </c>
      <c r="D426" s="165" t="s">
        <v>159</v>
      </c>
      <c r="E426" s="166">
        <v>1.86</v>
      </c>
      <c r="F426" s="140"/>
      <c r="G426" s="167">
        <f>ROUND(E426*F426,2)</f>
        <v>0</v>
      </c>
      <c r="H426" s="168"/>
      <c r="I426" s="169">
        <f>ROUND(E426*H426,2)</f>
        <v>0</v>
      </c>
      <c r="J426" s="168"/>
      <c r="K426" s="169">
        <f>ROUND(E426*J426,2)</f>
        <v>0</v>
      </c>
      <c r="L426" s="169">
        <v>21</v>
      </c>
      <c r="M426" s="169">
        <f>G426*(1+L426/100)</f>
        <v>0</v>
      </c>
      <c r="N426" s="170">
        <v>0</v>
      </c>
      <c r="O426" s="170">
        <f>ROUND(E426*N426,2)</f>
        <v>0</v>
      </c>
      <c r="P426" s="170">
        <v>0</v>
      </c>
      <c r="Q426" s="170">
        <f>ROUND(E426*P426,2)</f>
        <v>0</v>
      </c>
      <c r="R426" s="169"/>
      <c r="S426" s="169" t="s">
        <v>143</v>
      </c>
      <c r="T426" s="169" t="s">
        <v>143</v>
      </c>
      <c r="U426" s="169">
        <v>0.08</v>
      </c>
      <c r="V426" s="169">
        <f>ROUND(E426*U426,2)</f>
        <v>0.15</v>
      </c>
      <c r="W426" s="169"/>
      <c r="X426" s="169" t="s">
        <v>144</v>
      </c>
      <c r="Y426" s="169" t="s">
        <v>145</v>
      </c>
      <c r="Z426" s="171"/>
      <c r="AA426" s="171"/>
      <c r="AB426" s="171"/>
      <c r="AC426" s="171"/>
      <c r="AD426" s="171"/>
      <c r="AE426" s="171"/>
      <c r="AF426" s="171"/>
      <c r="AG426" s="171" t="s">
        <v>146</v>
      </c>
      <c r="AH426" s="171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71"/>
      <c r="AT426" s="171"/>
      <c r="AU426" s="171"/>
      <c r="AV426" s="171"/>
      <c r="AW426" s="171"/>
      <c r="AX426" s="171"/>
      <c r="AY426" s="171"/>
      <c r="AZ426" s="171"/>
      <c r="BA426" s="171"/>
      <c r="BB426" s="171"/>
      <c r="BC426" s="171"/>
      <c r="BD426" s="171"/>
      <c r="BE426" s="171"/>
      <c r="BF426" s="171"/>
      <c r="BG426" s="171"/>
      <c r="BH426" s="171"/>
    </row>
    <row r="427" spans="1:60" outlineLevel="2" x14ac:dyDescent="0.2">
      <c r="A427" s="172"/>
      <c r="B427" s="173"/>
      <c r="C427" s="174" t="s">
        <v>272</v>
      </c>
      <c r="D427" s="175"/>
      <c r="E427" s="176"/>
      <c r="F427" s="196"/>
      <c r="G427" s="169"/>
      <c r="H427" s="169"/>
      <c r="I427" s="169"/>
      <c r="J427" s="169"/>
      <c r="K427" s="169"/>
      <c r="L427" s="169"/>
      <c r="M427" s="169"/>
      <c r="N427" s="170"/>
      <c r="O427" s="170"/>
      <c r="P427" s="170"/>
      <c r="Q427" s="170"/>
      <c r="R427" s="169"/>
      <c r="S427" s="169"/>
      <c r="T427" s="169"/>
      <c r="U427" s="169"/>
      <c r="V427" s="169"/>
      <c r="W427" s="169"/>
      <c r="X427" s="169"/>
      <c r="Y427" s="169"/>
      <c r="Z427" s="171"/>
      <c r="AA427" s="171"/>
      <c r="AB427" s="171"/>
      <c r="AC427" s="171"/>
      <c r="AD427" s="171"/>
      <c r="AE427" s="171"/>
      <c r="AF427" s="171"/>
      <c r="AG427" s="171" t="s">
        <v>148</v>
      </c>
      <c r="AH427" s="171">
        <v>0</v>
      </c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71"/>
      <c r="AT427" s="171"/>
      <c r="AU427" s="171"/>
      <c r="AV427" s="171"/>
      <c r="AW427" s="171"/>
      <c r="AX427" s="171"/>
      <c r="AY427" s="171"/>
      <c r="AZ427" s="171"/>
      <c r="BA427" s="171"/>
      <c r="BB427" s="171"/>
      <c r="BC427" s="171"/>
      <c r="BD427" s="171"/>
      <c r="BE427" s="171"/>
      <c r="BF427" s="171"/>
      <c r="BG427" s="171"/>
      <c r="BH427" s="171"/>
    </row>
    <row r="428" spans="1:60" outlineLevel="3" x14ac:dyDescent="0.2">
      <c r="A428" s="172"/>
      <c r="B428" s="173"/>
      <c r="C428" s="174" t="s">
        <v>149</v>
      </c>
      <c r="D428" s="175"/>
      <c r="E428" s="176"/>
      <c r="F428" s="196"/>
      <c r="G428" s="169"/>
      <c r="H428" s="169"/>
      <c r="I428" s="169"/>
      <c r="J428" s="169"/>
      <c r="K428" s="169"/>
      <c r="L428" s="169"/>
      <c r="M428" s="169"/>
      <c r="N428" s="170"/>
      <c r="O428" s="170"/>
      <c r="P428" s="170"/>
      <c r="Q428" s="170"/>
      <c r="R428" s="169"/>
      <c r="S428" s="169"/>
      <c r="T428" s="169"/>
      <c r="U428" s="169"/>
      <c r="V428" s="169"/>
      <c r="W428" s="169"/>
      <c r="X428" s="169"/>
      <c r="Y428" s="169"/>
      <c r="Z428" s="171"/>
      <c r="AA428" s="171"/>
      <c r="AB428" s="171"/>
      <c r="AC428" s="171"/>
      <c r="AD428" s="171"/>
      <c r="AE428" s="171"/>
      <c r="AF428" s="171"/>
      <c r="AG428" s="171" t="s">
        <v>148</v>
      </c>
      <c r="AH428" s="171">
        <v>0</v>
      </c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71"/>
      <c r="AT428" s="171"/>
      <c r="AU428" s="171"/>
      <c r="AV428" s="171"/>
      <c r="AW428" s="171"/>
      <c r="AX428" s="171"/>
      <c r="AY428" s="171"/>
      <c r="AZ428" s="171"/>
      <c r="BA428" s="171"/>
      <c r="BB428" s="171"/>
      <c r="BC428" s="171"/>
      <c r="BD428" s="171"/>
      <c r="BE428" s="171"/>
      <c r="BF428" s="171"/>
      <c r="BG428" s="171"/>
      <c r="BH428" s="171"/>
    </row>
    <row r="429" spans="1:60" outlineLevel="3" x14ac:dyDescent="0.2">
      <c r="A429" s="172"/>
      <c r="B429" s="173"/>
      <c r="C429" s="174" t="s">
        <v>473</v>
      </c>
      <c r="D429" s="175"/>
      <c r="E429" s="176">
        <v>1.38</v>
      </c>
      <c r="F429" s="196"/>
      <c r="G429" s="169"/>
      <c r="H429" s="169"/>
      <c r="I429" s="169"/>
      <c r="J429" s="169"/>
      <c r="K429" s="169"/>
      <c r="L429" s="169"/>
      <c r="M429" s="169"/>
      <c r="N429" s="170"/>
      <c r="O429" s="170"/>
      <c r="P429" s="170"/>
      <c r="Q429" s="170"/>
      <c r="R429" s="169"/>
      <c r="S429" s="169"/>
      <c r="T429" s="169"/>
      <c r="U429" s="169"/>
      <c r="V429" s="169"/>
      <c r="W429" s="169"/>
      <c r="X429" s="169"/>
      <c r="Y429" s="169"/>
      <c r="Z429" s="171"/>
      <c r="AA429" s="171"/>
      <c r="AB429" s="171"/>
      <c r="AC429" s="171"/>
      <c r="AD429" s="171"/>
      <c r="AE429" s="171"/>
      <c r="AF429" s="171"/>
      <c r="AG429" s="171" t="s">
        <v>148</v>
      </c>
      <c r="AH429" s="171">
        <v>0</v>
      </c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71"/>
      <c r="AT429" s="171"/>
      <c r="AU429" s="171"/>
      <c r="AV429" s="171"/>
      <c r="AW429" s="171"/>
      <c r="AX429" s="171"/>
      <c r="AY429" s="171"/>
      <c r="AZ429" s="171"/>
      <c r="BA429" s="171"/>
      <c r="BB429" s="171"/>
      <c r="BC429" s="171"/>
      <c r="BD429" s="171"/>
      <c r="BE429" s="171"/>
      <c r="BF429" s="171"/>
      <c r="BG429" s="171"/>
      <c r="BH429" s="171"/>
    </row>
    <row r="430" spans="1:60" outlineLevel="3" x14ac:dyDescent="0.2">
      <c r="A430" s="172"/>
      <c r="B430" s="173"/>
      <c r="C430" s="174" t="s">
        <v>274</v>
      </c>
      <c r="D430" s="175"/>
      <c r="E430" s="176"/>
      <c r="F430" s="196"/>
      <c r="G430" s="169"/>
      <c r="H430" s="169"/>
      <c r="I430" s="169"/>
      <c r="J430" s="169"/>
      <c r="K430" s="169"/>
      <c r="L430" s="169"/>
      <c r="M430" s="169"/>
      <c r="N430" s="170"/>
      <c r="O430" s="170"/>
      <c r="P430" s="170"/>
      <c r="Q430" s="170"/>
      <c r="R430" s="169"/>
      <c r="S430" s="169"/>
      <c r="T430" s="169"/>
      <c r="U430" s="169"/>
      <c r="V430" s="169"/>
      <c r="W430" s="169"/>
      <c r="X430" s="169"/>
      <c r="Y430" s="169"/>
      <c r="Z430" s="171"/>
      <c r="AA430" s="171"/>
      <c r="AB430" s="171"/>
      <c r="AC430" s="171"/>
      <c r="AD430" s="171"/>
      <c r="AE430" s="171"/>
      <c r="AF430" s="171"/>
      <c r="AG430" s="171" t="s">
        <v>148</v>
      </c>
      <c r="AH430" s="171">
        <v>0</v>
      </c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171"/>
      <c r="AT430" s="171"/>
      <c r="AU430" s="171"/>
      <c r="AV430" s="171"/>
      <c r="AW430" s="171"/>
      <c r="AX430" s="171"/>
      <c r="AY430" s="171"/>
      <c r="AZ430" s="171"/>
      <c r="BA430" s="171"/>
      <c r="BB430" s="171"/>
      <c r="BC430" s="171"/>
      <c r="BD430" s="171"/>
      <c r="BE430" s="171"/>
      <c r="BF430" s="171"/>
      <c r="BG430" s="171"/>
      <c r="BH430" s="171"/>
    </row>
    <row r="431" spans="1:60" outlineLevel="3" x14ac:dyDescent="0.2">
      <c r="A431" s="172"/>
      <c r="B431" s="173"/>
      <c r="C431" s="174" t="s">
        <v>149</v>
      </c>
      <c r="D431" s="175"/>
      <c r="E431" s="176"/>
      <c r="F431" s="196"/>
      <c r="G431" s="169"/>
      <c r="H431" s="169"/>
      <c r="I431" s="169"/>
      <c r="J431" s="169"/>
      <c r="K431" s="169"/>
      <c r="L431" s="169"/>
      <c r="M431" s="169"/>
      <c r="N431" s="170"/>
      <c r="O431" s="170"/>
      <c r="P431" s="170"/>
      <c r="Q431" s="170"/>
      <c r="R431" s="169"/>
      <c r="S431" s="169"/>
      <c r="T431" s="169"/>
      <c r="U431" s="169"/>
      <c r="V431" s="169"/>
      <c r="W431" s="169"/>
      <c r="X431" s="169"/>
      <c r="Y431" s="169"/>
      <c r="Z431" s="171"/>
      <c r="AA431" s="171"/>
      <c r="AB431" s="171"/>
      <c r="AC431" s="171"/>
      <c r="AD431" s="171"/>
      <c r="AE431" s="171"/>
      <c r="AF431" s="171"/>
      <c r="AG431" s="171" t="s">
        <v>148</v>
      </c>
      <c r="AH431" s="171">
        <v>0</v>
      </c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171"/>
      <c r="AT431" s="171"/>
      <c r="AU431" s="171"/>
      <c r="AV431" s="171"/>
      <c r="AW431" s="171"/>
      <c r="AX431" s="171"/>
      <c r="AY431" s="171"/>
      <c r="AZ431" s="171"/>
      <c r="BA431" s="171"/>
      <c r="BB431" s="171"/>
      <c r="BC431" s="171"/>
      <c r="BD431" s="171"/>
      <c r="BE431" s="171"/>
      <c r="BF431" s="171"/>
      <c r="BG431" s="171"/>
      <c r="BH431" s="171"/>
    </row>
    <row r="432" spans="1:60" outlineLevel="3" x14ac:dyDescent="0.2">
      <c r="A432" s="172"/>
      <c r="B432" s="173"/>
      <c r="C432" s="174" t="s">
        <v>474</v>
      </c>
      <c r="D432" s="175"/>
      <c r="E432" s="176">
        <v>0.16</v>
      </c>
      <c r="F432" s="196"/>
      <c r="G432" s="169"/>
      <c r="H432" s="169"/>
      <c r="I432" s="169"/>
      <c r="J432" s="169"/>
      <c r="K432" s="169"/>
      <c r="L432" s="169"/>
      <c r="M432" s="169"/>
      <c r="N432" s="170"/>
      <c r="O432" s="170"/>
      <c r="P432" s="170"/>
      <c r="Q432" s="170"/>
      <c r="R432" s="169"/>
      <c r="S432" s="169"/>
      <c r="T432" s="169"/>
      <c r="U432" s="169"/>
      <c r="V432" s="169"/>
      <c r="W432" s="169"/>
      <c r="X432" s="169"/>
      <c r="Y432" s="169"/>
      <c r="Z432" s="171"/>
      <c r="AA432" s="171"/>
      <c r="AB432" s="171"/>
      <c r="AC432" s="171"/>
      <c r="AD432" s="171"/>
      <c r="AE432" s="171"/>
      <c r="AF432" s="171"/>
      <c r="AG432" s="171" t="s">
        <v>148</v>
      </c>
      <c r="AH432" s="171">
        <v>0</v>
      </c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171"/>
      <c r="AT432" s="171"/>
      <c r="AU432" s="171"/>
      <c r="AV432" s="171"/>
      <c r="AW432" s="171"/>
      <c r="AX432" s="171"/>
      <c r="AY432" s="171"/>
      <c r="AZ432" s="171"/>
      <c r="BA432" s="171"/>
      <c r="BB432" s="171"/>
      <c r="BC432" s="171"/>
      <c r="BD432" s="171"/>
      <c r="BE432" s="171"/>
      <c r="BF432" s="171"/>
      <c r="BG432" s="171"/>
      <c r="BH432" s="171"/>
    </row>
    <row r="433" spans="1:60" outlineLevel="3" x14ac:dyDescent="0.2">
      <c r="A433" s="172"/>
      <c r="B433" s="173"/>
      <c r="C433" s="174" t="s">
        <v>151</v>
      </c>
      <c r="D433" s="175"/>
      <c r="E433" s="176"/>
      <c r="F433" s="196"/>
      <c r="G433" s="169"/>
      <c r="H433" s="169"/>
      <c r="I433" s="169"/>
      <c r="J433" s="169"/>
      <c r="K433" s="169"/>
      <c r="L433" s="169"/>
      <c r="M433" s="169"/>
      <c r="N433" s="170"/>
      <c r="O433" s="170"/>
      <c r="P433" s="170"/>
      <c r="Q433" s="170"/>
      <c r="R433" s="169"/>
      <c r="S433" s="169"/>
      <c r="T433" s="169"/>
      <c r="U433" s="169"/>
      <c r="V433" s="169"/>
      <c r="W433" s="169"/>
      <c r="X433" s="169"/>
      <c r="Y433" s="169"/>
      <c r="Z433" s="171"/>
      <c r="AA433" s="171"/>
      <c r="AB433" s="171"/>
      <c r="AC433" s="171"/>
      <c r="AD433" s="171"/>
      <c r="AE433" s="171"/>
      <c r="AF433" s="171"/>
      <c r="AG433" s="171" t="s">
        <v>148</v>
      </c>
      <c r="AH433" s="171">
        <v>0</v>
      </c>
      <c r="AI433" s="171"/>
      <c r="AJ433" s="171"/>
      <c r="AK433" s="171"/>
      <c r="AL433" s="171"/>
      <c r="AM433" s="171"/>
      <c r="AN433" s="171"/>
      <c r="AO433" s="171"/>
      <c r="AP433" s="171"/>
      <c r="AQ433" s="171"/>
      <c r="AR433" s="171"/>
      <c r="AS433" s="171"/>
      <c r="AT433" s="171"/>
      <c r="AU433" s="171"/>
      <c r="AV433" s="171"/>
      <c r="AW433" s="171"/>
      <c r="AX433" s="171"/>
      <c r="AY433" s="171"/>
      <c r="AZ433" s="171"/>
      <c r="BA433" s="171"/>
      <c r="BB433" s="171"/>
      <c r="BC433" s="171"/>
      <c r="BD433" s="171"/>
      <c r="BE433" s="171"/>
      <c r="BF433" s="171"/>
      <c r="BG433" s="171"/>
      <c r="BH433" s="171"/>
    </row>
    <row r="434" spans="1:60" outlineLevel="3" x14ac:dyDescent="0.2">
      <c r="A434" s="172"/>
      <c r="B434" s="173"/>
      <c r="C434" s="174" t="s">
        <v>474</v>
      </c>
      <c r="D434" s="175"/>
      <c r="E434" s="176">
        <v>0.16</v>
      </c>
      <c r="F434" s="196"/>
      <c r="G434" s="169"/>
      <c r="H434" s="169"/>
      <c r="I434" s="169"/>
      <c r="J434" s="169"/>
      <c r="K434" s="169"/>
      <c r="L434" s="169"/>
      <c r="M434" s="169"/>
      <c r="N434" s="170"/>
      <c r="O434" s="170"/>
      <c r="P434" s="170"/>
      <c r="Q434" s="170"/>
      <c r="R434" s="169"/>
      <c r="S434" s="169"/>
      <c r="T434" s="169"/>
      <c r="U434" s="169"/>
      <c r="V434" s="169"/>
      <c r="W434" s="169"/>
      <c r="X434" s="169"/>
      <c r="Y434" s="169"/>
      <c r="Z434" s="171"/>
      <c r="AA434" s="171"/>
      <c r="AB434" s="171"/>
      <c r="AC434" s="171"/>
      <c r="AD434" s="171"/>
      <c r="AE434" s="171"/>
      <c r="AF434" s="171"/>
      <c r="AG434" s="171" t="s">
        <v>148</v>
      </c>
      <c r="AH434" s="171">
        <v>0</v>
      </c>
      <c r="AI434" s="171"/>
      <c r="AJ434" s="171"/>
      <c r="AK434" s="171"/>
      <c r="AL434" s="171"/>
      <c r="AM434" s="171"/>
      <c r="AN434" s="171"/>
      <c r="AO434" s="171"/>
      <c r="AP434" s="171"/>
      <c r="AQ434" s="171"/>
      <c r="AR434" s="171"/>
      <c r="AS434" s="171"/>
      <c r="AT434" s="171"/>
      <c r="AU434" s="171"/>
      <c r="AV434" s="171"/>
      <c r="AW434" s="171"/>
      <c r="AX434" s="171"/>
      <c r="AY434" s="171"/>
      <c r="AZ434" s="171"/>
      <c r="BA434" s="171"/>
      <c r="BB434" s="171"/>
      <c r="BC434" s="171"/>
      <c r="BD434" s="171"/>
      <c r="BE434" s="171"/>
      <c r="BF434" s="171"/>
      <c r="BG434" s="171"/>
      <c r="BH434" s="171"/>
    </row>
    <row r="435" spans="1:60" outlineLevel="3" x14ac:dyDescent="0.2">
      <c r="A435" s="172"/>
      <c r="B435" s="173"/>
      <c r="C435" s="174" t="s">
        <v>152</v>
      </c>
      <c r="D435" s="175"/>
      <c r="E435" s="176"/>
      <c r="F435" s="196"/>
      <c r="G435" s="169"/>
      <c r="H435" s="169"/>
      <c r="I435" s="169"/>
      <c r="J435" s="169"/>
      <c r="K435" s="169"/>
      <c r="L435" s="169"/>
      <c r="M435" s="169"/>
      <c r="N435" s="170"/>
      <c r="O435" s="170"/>
      <c r="P435" s="170"/>
      <c r="Q435" s="170"/>
      <c r="R435" s="169"/>
      <c r="S435" s="169"/>
      <c r="T435" s="169"/>
      <c r="U435" s="169"/>
      <c r="V435" s="169"/>
      <c r="W435" s="169"/>
      <c r="X435" s="169"/>
      <c r="Y435" s="169"/>
      <c r="Z435" s="171"/>
      <c r="AA435" s="171"/>
      <c r="AB435" s="171"/>
      <c r="AC435" s="171"/>
      <c r="AD435" s="171"/>
      <c r="AE435" s="171"/>
      <c r="AF435" s="171"/>
      <c r="AG435" s="171" t="s">
        <v>148</v>
      </c>
      <c r="AH435" s="171">
        <v>0</v>
      </c>
      <c r="AI435" s="171"/>
      <c r="AJ435" s="171"/>
      <c r="AK435" s="171"/>
      <c r="AL435" s="171"/>
      <c r="AM435" s="171"/>
      <c r="AN435" s="171"/>
      <c r="AO435" s="171"/>
      <c r="AP435" s="171"/>
      <c r="AQ435" s="171"/>
      <c r="AR435" s="171"/>
      <c r="AS435" s="171"/>
      <c r="AT435" s="171"/>
      <c r="AU435" s="171"/>
      <c r="AV435" s="171"/>
      <c r="AW435" s="171"/>
      <c r="AX435" s="171"/>
      <c r="AY435" s="171"/>
      <c r="AZ435" s="171"/>
      <c r="BA435" s="171"/>
      <c r="BB435" s="171"/>
      <c r="BC435" s="171"/>
      <c r="BD435" s="171"/>
      <c r="BE435" s="171"/>
      <c r="BF435" s="171"/>
      <c r="BG435" s="171"/>
      <c r="BH435" s="171"/>
    </row>
    <row r="436" spans="1:60" outlineLevel="3" x14ac:dyDescent="0.2">
      <c r="A436" s="172"/>
      <c r="B436" s="173"/>
      <c r="C436" s="174" t="s">
        <v>474</v>
      </c>
      <c r="D436" s="175"/>
      <c r="E436" s="176">
        <v>0.16</v>
      </c>
      <c r="F436" s="196"/>
      <c r="G436" s="169"/>
      <c r="H436" s="169"/>
      <c r="I436" s="169"/>
      <c r="J436" s="169"/>
      <c r="K436" s="169"/>
      <c r="L436" s="169"/>
      <c r="M436" s="169"/>
      <c r="N436" s="170"/>
      <c r="O436" s="170"/>
      <c r="P436" s="170"/>
      <c r="Q436" s="170"/>
      <c r="R436" s="169"/>
      <c r="S436" s="169"/>
      <c r="T436" s="169"/>
      <c r="U436" s="169"/>
      <c r="V436" s="169"/>
      <c r="W436" s="169"/>
      <c r="X436" s="169"/>
      <c r="Y436" s="169"/>
      <c r="Z436" s="171"/>
      <c r="AA436" s="171"/>
      <c r="AB436" s="171"/>
      <c r="AC436" s="171"/>
      <c r="AD436" s="171"/>
      <c r="AE436" s="171"/>
      <c r="AF436" s="171"/>
      <c r="AG436" s="171" t="s">
        <v>148</v>
      </c>
      <c r="AH436" s="171">
        <v>0</v>
      </c>
      <c r="AI436" s="171"/>
      <c r="AJ436" s="171"/>
      <c r="AK436" s="171"/>
      <c r="AL436" s="171"/>
      <c r="AM436" s="171"/>
      <c r="AN436" s="171"/>
      <c r="AO436" s="171"/>
      <c r="AP436" s="171"/>
      <c r="AQ436" s="171"/>
      <c r="AR436" s="171"/>
      <c r="AS436" s="171"/>
      <c r="AT436" s="171"/>
      <c r="AU436" s="171"/>
      <c r="AV436" s="171"/>
      <c r="AW436" s="171"/>
      <c r="AX436" s="171"/>
      <c r="AY436" s="171"/>
      <c r="AZ436" s="171"/>
      <c r="BA436" s="171"/>
      <c r="BB436" s="171"/>
      <c r="BC436" s="171"/>
      <c r="BD436" s="171"/>
      <c r="BE436" s="171"/>
      <c r="BF436" s="171"/>
      <c r="BG436" s="171"/>
      <c r="BH436" s="171"/>
    </row>
    <row r="437" spans="1:60" outlineLevel="1" x14ac:dyDescent="0.2">
      <c r="A437" s="162">
        <v>57</v>
      </c>
      <c r="B437" s="163" t="s">
        <v>475</v>
      </c>
      <c r="C437" s="164" t="s">
        <v>476</v>
      </c>
      <c r="D437" s="165" t="s">
        <v>142</v>
      </c>
      <c r="E437" s="166">
        <v>7.5889999999999999E-2</v>
      </c>
      <c r="F437" s="140"/>
      <c r="G437" s="167">
        <f>ROUND(E437*F437,2)</f>
        <v>0</v>
      </c>
      <c r="H437" s="168"/>
      <c r="I437" s="169">
        <f>ROUND(E437*H437,2)</f>
        <v>0</v>
      </c>
      <c r="J437" s="168"/>
      <c r="K437" s="169">
        <f>ROUND(E437*J437,2)</f>
        <v>0</v>
      </c>
      <c r="L437" s="169">
        <v>21</v>
      </c>
      <c r="M437" s="169">
        <f>G437*(1+L437/100)</f>
        <v>0</v>
      </c>
      <c r="N437" s="170">
        <v>2.5000000000000001E-2</v>
      </c>
      <c r="O437" s="170">
        <f>ROUND(E437*N437,2)</f>
        <v>0</v>
      </c>
      <c r="P437" s="170">
        <v>0</v>
      </c>
      <c r="Q437" s="170">
        <f>ROUND(E437*P437,2)</f>
        <v>0</v>
      </c>
      <c r="R437" s="169" t="s">
        <v>224</v>
      </c>
      <c r="S437" s="169" t="s">
        <v>143</v>
      </c>
      <c r="T437" s="169" t="s">
        <v>143</v>
      </c>
      <c r="U437" s="169">
        <v>0</v>
      </c>
      <c r="V437" s="169">
        <f>ROUND(E437*U437,2)</f>
        <v>0</v>
      </c>
      <c r="W437" s="169"/>
      <c r="X437" s="169" t="s">
        <v>225</v>
      </c>
      <c r="Y437" s="169" t="s">
        <v>145</v>
      </c>
      <c r="Z437" s="171"/>
      <c r="AA437" s="171"/>
      <c r="AB437" s="171"/>
      <c r="AC437" s="171"/>
      <c r="AD437" s="171"/>
      <c r="AE437" s="171"/>
      <c r="AF437" s="171"/>
      <c r="AG437" s="171" t="s">
        <v>226</v>
      </c>
      <c r="AH437" s="171"/>
      <c r="AI437" s="171"/>
      <c r="AJ437" s="171"/>
      <c r="AK437" s="171"/>
      <c r="AL437" s="171"/>
      <c r="AM437" s="171"/>
      <c r="AN437" s="171"/>
      <c r="AO437" s="171"/>
      <c r="AP437" s="171"/>
      <c r="AQ437" s="171"/>
      <c r="AR437" s="171"/>
      <c r="AS437" s="171"/>
      <c r="AT437" s="171"/>
      <c r="AU437" s="171"/>
      <c r="AV437" s="171"/>
      <c r="AW437" s="171"/>
      <c r="AX437" s="171"/>
      <c r="AY437" s="171"/>
      <c r="AZ437" s="171"/>
      <c r="BA437" s="171"/>
      <c r="BB437" s="171"/>
      <c r="BC437" s="171"/>
      <c r="BD437" s="171"/>
      <c r="BE437" s="171"/>
      <c r="BF437" s="171"/>
      <c r="BG437" s="171"/>
      <c r="BH437" s="171"/>
    </row>
    <row r="438" spans="1:60" outlineLevel="2" x14ac:dyDescent="0.2">
      <c r="A438" s="172"/>
      <c r="B438" s="173"/>
      <c r="C438" s="174" t="s">
        <v>477</v>
      </c>
      <c r="D438" s="175"/>
      <c r="E438" s="176">
        <v>7.5889999999999999E-2</v>
      </c>
      <c r="F438" s="196"/>
      <c r="G438" s="169"/>
      <c r="H438" s="169"/>
      <c r="I438" s="169"/>
      <c r="J438" s="169"/>
      <c r="K438" s="169"/>
      <c r="L438" s="169"/>
      <c r="M438" s="169"/>
      <c r="N438" s="170"/>
      <c r="O438" s="170"/>
      <c r="P438" s="170"/>
      <c r="Q438" s="170"/>
      <c r="R438" s="169"/>
      <c r="S438" s="169"/>
      <c r="T438" s="169"/>
      <c r="U438" s="169"/>
      <c r="V438" s="169"/>
      <c r="W438" s="169"/>
      <c r="X438" s="169"/>
      <c r="Y438" s="169"/>
      <c r="Z438" s="171"/>
      <c r="AA438" s="171"/>
      <c r="AB438" s="171"/>
      <c r="AC438" s="171"/>
      <c r="AD438" s="171"/>
      <c r="AE438" s="171"/>
      <c r="AF438" s="171"/>
      <c r="AG438" s="171" t="s">
        <v>148</v>
      </c>
      <c r="AH438" s="171">
        <v>0</v>
      </c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  <c r="AY438" s="171"/>
      <c r="AZ438" s="171"/>
      <c r="BA438" s="171"/>
      <c r="BB438" s="171"/>
      <c r="BC438" s="171"/>
      <c r="BD438" s="171"/>
      <c r="BE438" s="171"/>
      <c r="BF438" s="171"/>
      <c r="BG438" s="171"/>
      <c r="BH438" s="171"/>
    </row>
    <row r="439" spans="1:60" outlineLevel="1" x14ac:dyDescent="0.2">
      <c r="A439" s="172">
        <v>58</v>
      </c>
      <c r="B439" s="173" t="s">
        <v>478</v>
      </c>
      <c r="C439" s="186" t="s">
        <v>479</v>
      </c>
      <c r="D439" s="187" t="s">
        <v>0</v>
      </c>
      <c r="E439" s="142"/>
      <c r="F439" s="139"/>
      <c r="G439" s="169">
        <f>ROUND(E439*F439,2)</f>
        <v>0</v>
      </c>
      <c r="H439" s="168"/>
      <c r="I439" s="169">
        <f>ROUND(E439*H439,2)</f>
        <v>0</v>
      </c>
      <c r="J439" s="168"/>
      <c r="K439" s="169">
        <f>ROUND(E439*J439,2)</f>
        <v>0</v>
      </c>
      <c r="L439" s="169">
        <v>21</v>
      </c>
      <c r="M439" s="169">
        <f>G439*(1+L439/100)</f>
        <v>0</v>
      </c>
      <c r="N439" s="170">
        <v>0</v>
      </c>
      <c r="O439" s="170">
        <f>ROUND(E439*N439,2)</f>
        <v>0</v>
      </c>
      <c r="P439" s="170">
        <v>0</v>
      </c>
      <c r="Q439" s="170">
        <f>ROUND(E439*P439,2)</f>
        <v>0</v>
      </c>
      <c r="R439" s="169"/>
      <c r="S439" s="169" t="s">
        <v>143</v>
      </c>
      <c r="T439" s="169" t="s">
        <v>143</v>
      </c>
      <c r="U439" s="169">
        <v>0</v>
      </c>
      <c r="V439" s="169">
        <f>ROUND(E439*U439,2)</f>
        <v>0</v>
      </c>
      <c r="W439" s="169"/>
      <c r="X439" s="169" t="s">
        <v>448</v>
      </c>
      <c r="Y439" s="169" t="s">
        <v>145</v>
      </c>
      <c r="Z439" s="171"/>
      <c r="AA439" s="171"/>
      <c r="AB439" s="171"/>
      <c r="AC439" s="171"/>
      <c r="AD439" s="171"/>
      <c r="AE439" s="171"/>
      <c r="AF439" s="171"/>
      <c r="AG439" s="171" t="s">
        <v>449</v>
      </c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  <c r="AY439" s="171"/>
      <c r="AZ439" s="171"/>
      <c r="BA439" s="171"/>
      <c r="BB439" s="171"/>
      <c r="BC439" s="171"/>
      <c r="BD439" s="171"/>
      <c r="BE439" s="171"/>
      <c r="BF439" s="171"/>
      <c r="BG439" s="171"/>
      <c r="BH439" s="171"/>
    </row>
    <row r="440" spans="1:60" x14ac:dyDescent="0.2">
      <c r="A440" s="153" t="s">
        <v>138</v>
      </c>
      <c r="B440" s="154" t="s">
        <v>85</v>
      </c>
      <c r="C440" s="155" t="s">
        <v>86</v>
      </c>
      <c r="D440" s="156"/>
      <c r="E440" s="157"/>
      <c r="F440" s="197"/>
      <c r="G440" s="159">
        <f>SUMIF(AG441:AG442,"&lt;&gt;NOR",G441:G442)</f>
        <v>0</v>
      </c>
      <c r="H440" s="160"/>
      <c r="I440" s="160">
        <f>SUM(I441:I442)</f>
        <v>0</v>
      </c>
      <c r="J440" s="160"/>
      <c r="K440" s="160">
        <f>SUM(K441:K442)</f>
        <v>0</v>
      </c>
      <c r="L440" s="160"/>
      <c r="M440" s="160">
        <f>SUM(M441:M442)</f>
        <v>0</v>
      </c>
      <c r="N440" s="161"/>
      <c r="O440" s="161">
        <f>SUM(O441:O442)</f>
        <v>0</v>
      </c>
      <c r="P440" s="161"/>
      <c r="Q440" s="161">
        <f>SUM(Q441:Q442)</f>
        <v>0</v>
      </c>
      <c r="R440" s="160"/>
      <c r="S440" s="160"/>
      <c r="T440" s="160"/>
      <c r="U440" s="160"/>
      <c r="V440" s="160">
        <f>SUM(V441:V442)</f>
        <v>0</v>
      </c>
      <c r="W440" s="160"/>
      <c r="X440" s="160"/>
      <c r="Y440" s="160"/>
      <c r="AG440" t="s">
        <v>139</v>
      </c>
    </row>
    <row r="441" spans="1:60" outlineLevel="1" x14ac:dyDescent="0.2">
      <c r="A441" s="177">
        <v>59</v>
      </c>
      <c r="B441" s="178" t="s">
        <v>480</v>
      </c>
      <c r="C441" s="179" t="s">
        <v>481</v>
      </c>
      <c r="D441" s="180" t="s">
        <v>300</v>
      </c>
      <c r="E441" s="181">
        <v>1</v>
      </c>
      <c r="F441" s="141">
        <f>ZTI!K12</f>
        <v>0</v>
      </c>
      <c r="G441" s="182">
        <f>ROUND(E441*F441,2)</f>
        <v>0</v>
      </c>
      <c r="H441" s="168"/>
      <c r="I441" s="169">
        <f>ROUND(E441*H441,2)</f>
        <v>0</v>
      </c>
      <c r="J441" s="168"/>
      <c r="K441" s="169">
        <f>ROUND(E441*J441,2)</f>
        <v>0</v>
      </c>
      <c r="L441" s="169">
        <v>21</v>
      </c>
      <c r="M441" s="169">
        <f>G441*(1+L441/100)</f>
        <v>0</v>
      </c>
      <c r="N441" s="170">
        <v>0</v>
      </c>
      <c r="O441" s="170">
        <f>ROUND(E441*N441,2)</f>
        <v>0</v>
      </c>
      <c r="P441" s="170">
        <v>0</v>
      </c>
      <c r="Q441" s="170">
        <f>ROUND(E441*P441,2)</f>
        <v>0</v>
      </c>
      <c r="R441" s="169"/>
      <c r="S441" s="169" t="s">
        <v>213</v>
      </c>
      <c r="T441" s="169" t="s">
        <v>214</v>
      </c>
      <c r="U441" s="169">
        <v>0</v>
      </c>
      <c r="V441" s="169">
        <f>ROUND(E441*U441,2)</f>
        <v>0</v>
      </c>
      <c r="W441" s="169"/>
      <c r="X441" s="169" t="s">
        <v>144</v>
      </c>
      <c r="Y441" s="169" t="s">
        <v>145</v>
      </c>
      <c r="Z441" s="171"/>
      <c r="AA441" s="171"/>
      <c r="AB441" s="171"/>
      <c r="AC441" s="171"/>
      <c r="AD441" s="171"/>
      <c r="AE441" s="171"/>
      <c r="AF441" s="171"/>
      <c r="AG441" s="171" t="s">
        <v>146</v>
      </c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  <c r="AY441" s="171"/>
      <c r="AZ441" s="171"/>
      <c r="BA441" s="171"/>
      <c r="BB441" s="171"/>
      <c r="BC441" s="171"/>
      <c r="BD441" s="171"/>
      <c r="BE441" s="171"/>
      <c r="BF441" s="171"/>
      <c r="BG441" s="171"/>
      <c r="BH441" s="171"/>
    </row>
    <row r="442" spans="1:60" outlineLevel="1" x14ac:dyDescent="0.2">
      <c r="A442" s="177">
        <v>60</v>
      </c>
      <c r="B442" s="178" t="s">
        <v>482</v>
      </c>
      <c r="C442" s="179" t="s">
        <v>483</v>
      </c>
      <c r="D442" s="180" t="s">
        <v>0</v>
      </c>
      <c r="E442" s="142"/>
      <c r="F442" s="141"/>
      <c r="G442" s="182">
        <f>ROUND(E442*F442,2)</f>
        <v>0</v>
      </c>
      <c r="H442" s="168"/>
      <c r="I442" s="169">
        <f>ROUND(E442*H442,2)</f>
        <v>0</v>
      </c>
      <c r="J442" s="168"/>
      <c r="K442" s="169">
        <f>ROUND(E442*J442,2)</f>
        <v>0</v>
      </c>
      <c r="L442" s="169">
        <v>21</v>
      </c>
      <c r="M442" s="169">
        <f>G442*(1+L442/100)</f>
        <v>0</v>
      </c>
      <c r="N442" s="170">
        <v>0</v>
      </c>
      <c r="O442" s="170">
        <f>ROUND(E442*N442,2)</f>
        <v>0</v>
      </c>
      <c r="P442" s="170">
        <v>0</v>
      </c>
      <c r="Q442" s="170">
        <f>ROUND(E442*P442,2)</f>
        <v>0</v>
      </c>
      <c r="R442" s="169"/>
      <c r="S442" s="169" t="s">
        <v>213</v>
      </c>
      <c r="T442" s="169" t="s">
        <v>214</v>
      </c>
      <c r="U442" s="169">
        <v>0</v>
      </c>
      <c r="V442" s="169">
        <f>ROUND(E442*U442,2)</f>
        <v>0</v>
      </c>
      <c r="W442" s="169"/>
      <c r="X442" s="169" t="s">
        <v>144</v>
      </c>
      <c r="Y442" s="169" t="s">
        <v>145</v>
      </c>
      <c r="Z442" s="171"/>
      <c r="AA442" s="171"/>
      <c r="AB442" s="171"/>
      <c r="AC442" s="171"/>
      <c r="AD442" s="171"/>
      <c r="AE442" s="171"/>
      <c r="AF442" s="171"/>
      <c r="AG442" s="171" t="s">
        <v>146</v>
      </c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  <c r="AY442" s="171"/>
      <c r="AZ442" s="171"/>
      <c r="BA442" s="171"/>
      <c r="BB442" s="171"/>
      <c r="BC442" s="171"/>
      <c r="BD442" s="171"/>
      <c r="BE442" s="171"/>
      <c r="BF442" s="171"/>
      <c r="BG442" s="171"/>
      <c r="BH442" s="171"/>
    </row>
    <row r="443" spans="1:60" x14ac:dyDescent="0.2">
      <c r="A443" s="153" t="s">
        <v>138</v>
      </c>
      <c r="B443" s="154" t="s">
        <v>87</v>
      </c>
      <c r="C443" s="155" t="s">
        <v>88</v>
      </c>
      <c r="D443" s="156"/>
      <c r="E443" s="157"/>
      <c r="F443" s="197"/>
      <c r="G443" s="159">
        <f>SUMIF(AG444:AG455,"&lt;&gt;NOR",G444:G455)</f>
        <v>0</v>
      </c>
      <c r="H443" s="160"/>
      <c r="I443" s="160">
        <f>SUM(I444:I455)</f>
        <v>0</v>
      </c>
      <c r="J443" s="160"/>
      <c r="K443" s="160">
        <f>SUM(K444:K455)</f>
        <v>0</v>
      </c>
      <c r="L443" s="160"/>
      <c r="M443" s="160">
        <f>SUM(M444:M455)</f>
        <v>0</v>
      </c>
      <c r="N443" s="161"/>
      <c r="O443" s="161">
        <f>SUM(O444:O455)</f>
        <v>0</v>
      </c>
      <c r="P443" s="161"/>
      <c r="Q443" s="161">
        <f>SUM(Q444:Q455)</f>
        <v>0</v>
      </c>
      <c r="R443" s="160"/>
      <c r="S443" s="160"/>
      <c r="T443" s="160"/>
      <c r="U443" s="160"/>
      <c r="V443" s="160">
        <f>SUM(V444:V455)</f>
        <v>24.75</v>
      </c>
      <c r="W443" s="160"/>
      <c r="X443" s="160"/>
      <c r="Y443" s="160"/>
      <c r="AG443" t="s">
        <v>139</v>
      </c>
    </row>
    <row r="444" spans="1:60" ht="22.5" outlineLevel="1" x14ac:dyDescent="0.2">
      <c r="A444" s="177">
        <v>61</v>
      </c>
      <c r="B444" s="178" t="s">
        <v>484</v>
      </c>
      <c r="C444" s="179" t="s">
        <v>485</v>
      </c>
      <c r="D444" s="180" t="s">
        <v>486</v>
      </c>
      <c r="E444" s="181">
        <v>75</v>
      </c>
      <c r="F444" s="141"/>
      <c r="G444" s="182">
        <f>ROUND(E444*F444,2)</f>
        <v>0</v>
      </c>
      <c r="H444" s="168"/>
      <c r="I444" s="169">
        <f>ROUND(E444*H444,2)</f>
        <v>0</v>
      </c>
      <c r="J444" s="168"/>
      <c r="K444" s="169">
        <f>ROUND(E444*J444,2)</f>
        <v>0</v>
      </c>
      <c r="L444" s="169">
        <v>21</v>
      </c>
      <c r="M444" s="169">
        <f>G444*(1+L444/100)</f>
        <v>0</v>
      </c>
      <c r="N444" s="170">
        <v>3.0000000000000001E-5</v>
      </c>
      <c r="O444" s="170">
        <f>ROUND(E444*N444,2)</f>
        <v>0</v>
      </c>
      <c r="P444" s="170">
        <v>0</v>
      </c>
      <c r="Q444" s="170">
        <f>ROUND(E444*P444,2)</f>
        <v>0</v>
      </c>
      <c r="R444" s="169"/>
      <c r="S444" s="169" t="s">
        <v>143</v>
      </c>
      <c r="T444" s="169" t="s">
        <v>143</v>
      </c>
      <c r="U444" s="169">
        <v>0.33</v>
      </c>
      <c r="V444" s="169">
        <f>ROUND(E444*U444,2)</f>
        <v>24.75</v>
      </c>
      <c r="W444" s="169"/>
      <c r="X444" s="169" t="s">
        <v>144</v>
      </c>
      <c r="Y444" s="169" t="s">
        <v>145</v>
      </c>
      <c r="Z444" s="171"/>
      <c r="AA444" s="171"/>
      <c r="AB444" s="171"/>
      <c r="AC444" s="171"/>
      <c r="AD444" s="171"/>
      <c r="AE444" s="171"/>
      <c r="AF444" s="171"/>
      <c r="AG444" s="171" t="s">
        <v>146</v>
      </c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171"/>
      <c r="AT444" s="171"/>
      <c r="AU444" s="171"/>
      <c r="AV444" s="171"/>
      <c r="AW444" s="171"/>
      <c r="AX444" s="171"/>
      <c r="AY444" s="171"/>
      <c r="AZ444" s="171"/>
      <c r="BA444" s="171"/>
      <c r="BB444" s="171"/>
      <c r="BC444" s="171"/>
      <c r="BD444" s="171"/>
      <c r="BE444" s="171"/>
      <c r="BF444" s="171"/>
      <c r="BG444" s="171"/>
      <c r="BH444" s="171"/>
    </row>
    <row r="445" spans="1:60" ht="22.5" outlineLevel="1" x14ac:dyDescent="0.2">
      <c r="A445" s="162">
        <v>62</v>
      </c>
      <c r="B445" s="163" t="s">
        <v>487</v>
      </c>
      <c r="C445" s="164" t="s">
        <v>488</v>
      </c>
      <c r="D445" s="165" t="s">
        <v>230</v>
      </c>
      <c r="E445" s="166">
        <v>27</v>
      </c>
      <c r="F445" s="140"/>
      <c r="G445" s="167">
        <f>ROUND(E445*F445,2)</f>
        <v>0</v>
      </c>
      <c r="H445" s="168"/>
      <c r="I445" s="169">
        <f>ROUND(E445*H445,2)</f>
        <v>0</v>
      </c>
      <c r="J445" s="168"/>
      <c r="K445" s="169">
        <f>ROUND(E445*J445,2)</f>
        <v>0</v>
      </c>
      <c r="L445" s="169">
        <v>21</v>
      </c>
      <c r="M445" s="169">
        <f>G445*(1+L445/100)</f>
        <v>0</v>
      </c>
      <c r="N445" s="170">
        <v>0</v>
      </c>
      <c r="O445" s="170">
        <f>ROUND(E445*N445,2)</f>
        <v>0</v>
      </c>
      <c r="P445" s="170">
        <v>0</v>
      </c>
      <c r="Q445" s="170">
        <f>ROUND(E445*P445,2)</f>
        <v>0</v>
      </c>
      <c r="R445" s="169"/>
      <c r="S445" s="169" t="s">
        <v>213</v>
      </c>
      <c r="T445" s="169" t="s">
        <v>214</v>
      </c>
      <c r="U445" s="169">
        <v>0</v>
      </c>
      <c r="V445" s="169">
        <f>ROUND(E445*U445,2)</f>
        <v>0</v>
      </c>
      <c r="W445" s="169"/>
      <c r="X445" s="169" t="s">
        <v>144</v>
      </c>
      <c r="Y445" s="169" t="s">
        <v>145</v>
      </c>
      <c r="Z445" s="171"/>
      <c r="AA445" s="171"/>
      <c r="AB445" s="171"/>
      <c r="AC445" s="171"/>
      <c r="AD445" s="171"/>
      <c r="AE445" s="171"/>
      <c r="AF445" s="171"/>
      <c r="AG445" s="171" t="s">
        <v>146</v>
      </c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  <c r="AY445" s="171"/>
      <c r="AZ445" s="171"/>
      <c r="BA445" s="171"/>
      <c r="BB445" s="171"/>
      <c r="BC445" s="171"/>
      <c r="BD445" s="171"/>
      <c r="BE445" s="171"/>
      <c r="BF445" s="171"/>
      <c r="BG445" s="171"/>
      <c r="BH445" s="171"/>
    </row>
    <row r="446" spans="1:60" outlineLevel="2" x14ac:dyDescent="0.2">
      <c r="A446" s="172"/>
      <c r="B446" s="173"/>
      <c r="C446" s="174" t="s">
        <v>489</v>
      </c>
      <c r="D446" s="175"/>
      <c r="E446" s="176">
        <v>27</v>
      </c>
      <c r="F446" s="196"/>
      <c r="G446" s="169"/>
      <c r="H446" s="169"/>
      <c r="I446" s="169"/>
      <c r="J446" s="169"/>
      <c r="K446" s="169"/>
      <c r="L446" s="169"/>
      <c r="M446" s="169"/>
      <c r="N446" s="170"/>
      <c r="O446" s="170"/>
      <c r="P446" s="170"/>
      <c r="Q446" s="170"/>
      <c r="R446" s="169"/>
      <c r="S446" s="169"/>
      <c r="T446" s="169"/>
      <c r="U446" s="169"/>
      <c r="V446" s="169"/>
      <c r="W446" s="169"/>
      <c r="X446" s="169"/>
      <c r="Y446" s="169"/>
      <c r="Z446" s="171"/>
      <c r="AA446" s="171"/>
      <c r="AB446" s="171"/>
      <c r="AC446" s="171"/>
      <c r="AD446" s="171"/>
      <c r="AE446" s="171"/>
      <c r="AF446" s="171"/>
      <c r="AG446" s="171" t="s">
        <v>148</v>
      </c>
      <c r="AH446" s="171">
        <v>0</v>
      </c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  <c r="AY446" s="171"/>
      <c r="AZ446" s="171"/>
      <c r="BA446" s="171"/>
      <c r="BB446" s="171"/>
      <c r="BC446" s="171"/>
      <c r="BD446" s="171"/>
      <c r="BE446" s="171"/>
      <c r="BF446" s="171"/>
      <c r="BG446" s="171"/>
      <c r="BH446" s="171"/>
    </row>
    <row r="447" spans="1:60" ht="22.5" outlineLevel="1" x14ac:dyDescent="0.2">
      <c r="A447" s="162">
        <v>63</v>
      </c>
      <c r="B447" s="163" t="s">
        <v>490</v>
      </c>
      <c r="C447" s="164" t="s">
        <v>491</v>
      </c>
      <c r="D447" s="165" t="s">
        <v>230</v>
      </c>
      <c r="E447" s="166">
        <v>9</v>
      </c>
      <c r="F447" s="140"/>
      <c r="G447" s="167">
        <f>ROUND(E447*F447,2)</f>
        <v>0</v>
      </c>
      <c r="H447" s="168"/>
      <c r="I447" s="169">
        <f>ROUND(E447*H447,2)</f>
        <v>0</v>
      </c>
      <c r="J447" s="168"/>
      <c r="K447" s="169">
        <f>ROUND(E447*J447,2)</f>
        <v>0</v>
      </c>
      <c r="L447" s="169">
        <v>21</v>
      </c>
      <c r="M447" s="169">
        <f>G447*(1+L447/100)</f>
        <v>0</v>
      </c>
      <c r="N447" s="170">
        <v>0</v>
      </c>
      <c r="O447" s="170">
        <f>ROUND(E447*N447,2)</f>
        <v>0</v>
      </c>
      <c r="P447" s="170">
        <v>0</v>
      </c>
      <c r="Q447" s="170">
        <f>ROUND(E447*P447,2)</f>
        <v>0</v>
      </c>
      <c r="R447" s="169"/>
      <c r="S447" s="169" t="s">
        <v>213</v>
      </c>
      <c r="T447" s="169" t="s">
        <v>214</v>
      </c>
      <c r="U447" s="169">
        <v>0</v>
      </c>
      <c r="V447" s="169">
        <f>ROUND(E447*U447,2)</f>
        <v>0</v>
      </c>
      <c r="W447" s="169"/>
      <c r="X447" s="169" t="s">
        <v>144</v>
      </c>
      <c r="Y447" s="169" t="s">
        <v>145</v>
      </c>
      <c r="Z447" s="171"/>
      <c r="AA447" s="171"/>
      <c r="AB447" s="171"/>
      <c r="AC447" s="171"/>
      <c r="AD447" s="171"/>
      <c r="AE447" s="171"/>
      <c r="AF447" s="171"/>
      <c r="AG447" s="171" t="s">
        <v>146</v>
      </c>
      <c r="AH447" s="171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  <c r="AY447" s="171"/>
      <c r="AZ447" s="171"/>
      <c r="BA447" s="171"/>
      <c r="BB447" s="171"/>
      <c r="BC447" s="171"/>
      <c r="BD447" s="171"/>
      <c r="BE447" s="171"/>
      <c r="BF447" s="171"/>
      <c r="BG447" s="171"/>
      <c r="BH447" s="171"/>
    </row>
    <row r="448" spans="1:60" outlineLevel="2" x14ac:dyDescent="0.2">
      <c r="A448" s="172"/>
      <c r="B448" s="173"/>
      <c r="C448" s="174" t="s">
        <v>492</v>
      </c>
      <c r="D448" s="175"/>
      <c r="E448" s="176">
        <v>9</v>
      </c>
      <c r="F448" s="196"/>
      <c r="G448" s="169"/>
      <c r="H448" s="169"/>
      <c r="I448" s="169"/>
      <c r="J448" s="169"/>
      <c r="K448" s="169"/>
      <c r="L448" s="169"/>
      <c r="M448" s="169"/>
      <c r="N448" s="170"/>
      <c r="O448" s="170"/>
      <c r="P448" s="170"/>
      <c r="Q448" s="170"/>
      <c r="R448" s="169"/>
      <c r="S448" s="169"/>
      <c r="T448" s="169"/>
      <c r="U448" s="169"/>
      <c r="V448" s="169"/>
      <c r="W448" s="169"/>
      <c r="X448" s="169"/>
      <c r="Y448" s="169"/>
      <c r="Z448" s="171"/>
      <c r="AA448" s="171"/>
      <c r="AB448" s="171"/>
      <c r="AC448" s="171"/>
      <c r="AD448" s="171"/>
      <c r="AE448" s="171"/>
      <c r="AF448" s="171"/>
      <c r="AG448" s="171" t="s">
        <v>148</v>
      </c>
      <c r="AH448" s="171">
        <v>0</v>
      </c>
      <c r="AI448" s="171"/>
      <c r="AJ448" s="171"/>
      <c r="AK448" s="171"/>
      <c r="AL448" s="171"/>
      <c r="AM448" s="171"/>
      <c r="AN448" s="171"/>
      <c r="AO448" s="171"/>
      <c r="AP448" s="171"/>
      <c r="AQ448" s="171"/>
      <c r="AR448" s="171"/>
      <c r="AS448" s="171"/>
      <c r="AT448" s="171"/>
      <c r="AU448" s="171"/>
      <c r="AV448" s="171"/>
      <c r="AW448" s="171"/>
      <c r="AX448" s="171"/>
      <c r="AY448" s="171"/>
      <c r="AZ448" s="171"/>
      <c r="BA448" s="171"/>
      <c r="BB448" s="171"/>
      <c r="BC448" s="171"/>
      <c r="BD448" s="171"/>
      <c r="BE448" s="171"/>
      <c r="BF448" s="171"/>
      <c r="BG448" s="171"/>
      <c r="BH448" s="171"/>
    </row>
    <row r="449" spans="1:60" ht="22.5" outlineLevel="1" x14ac:dyDescent="0.2">
      <c r="A449" s="162">
        <v>64</v>
      </c>
      <c r="B449" s="163" t="s">
        <v>493</v>
      </c>
      <c r="C449" s="164" t="s">
        <v>494</v>
      </c>
      <c r="D449" s="165" t="s">
        <v>230</v>
      </c>
      <c r="E449" s="166">
        <v>9</v>
      </c>
      <c r="F449" s="140"/>
      <c r="G449" s="167">
        <f>ROUND(E449*F449,2)</f>
        <v>0</v>
      </c>
      <c r="H449" s="168"/>
      <c r="I449" s="169">
        <f>ROUND(E449*H449,2)</f>
        <v>0</v>
      </c>
      <c r="J449" s="168"/>
      <c r="K449" s="169">
        <f>ROUND(E449*J449,2)</f>
        <v>0</v>
      </c>
      <c r="L449" s="169">
        <v>21</v>
      </c>
      <c r="M449" s="169">
        <f>G449*(1+L449/100)</f>
        <v>0</v>
      </c>
      <c r="N449" s="170">
        <v>0</v>
      </c>
      <c r="O449" s="170">
        <f>ROUND(E449*N449,2)</f>
        <v>0</v>
      </c>
      <c r="P449" s="170">
        <v>0</v>
      </c>
      <c r="Q449" s="170">
        <f>ROUND(E449*P449,2)</f>
        <v>0</v>
      </c>
      <c r="R449" s="169"/>
      <c r="S449" s="169" t="s">
        <v>213</v>
      </c>
      <c r="T449" s="169" t="s">
        <v>214</v>
      </c>
      <c r="U449" s="169">
        <v>0</v>
      </c>
      <c r="V449" s="169">
        <f>ROUND(E449*U449,2)</f>
        <v>0</v>
      </c>
      <c r="W449" s="169"/>
      <c r="X449" s="169" t="s">
        <v>144</v>
      </c>
      <c r="Y449" s="169" t="s">
        <v>145</v>
      </c>
      <c r="Z449" s="171"/>
      <c r="AA449" s="171"/>
      <c r="AB449" s="171"/>
      <c r="AC449" s="171"/>
      <c r="AD449" s="171"/>
      <c r="AE449" s="171"/>
      <c r="AF449" s="171"/>
      <c r="AG449" s="171" t="s">
        <v>146</v>
      </c>
      <c r="AH449" s="171"/>
      <c r="AI449" s="171"/>
      <c r="AJ449" s="171"/>
      <c r="AK449" s="171"/>
      <c r="AL449" s="171"/>
      <c r="AM449" s="171"/>
      <c r="AN449" s="171"/>
      <c r="AO449" s="171"/>
      <c r="AP449" s="171"/>
      <c r="AQ449" s="171"/>
      <c r="AR449" s="171"/>
      <c r="AS449" s="171"/>
      <c r="AT449" s="171"/>
      <c r="AU449" s="171"/>
      <c r="AV449" s="171"/>
      <c r="AW449" s="171"/>
      <c r="AX449" s="171"/>
      <c r="AY449" s="171"/>
      <c r="AZ449" s="171"/>
      <c r="BA449" s="171"/>
      <c r="BB449" s="171"/>
      <c r="BC449" s="171"/>
      <c r="BD449" s="171"/>
      <c r="BE449" s="171"/>
      <c r="BF449" s="171"/>
      <c r="BG449" s="171"/>
      <c r="BH449" s="171"/>
    </row>
    <row r="450" spans="1:60" outlineLevel="2" x14ac:dyDescent="0.2">
      <c r="A450" s="172"/>
      <c r="B450" s="173"/>
      <c r="C450" s="174" t="s">
        <v>492</v>
      </c>
      <c r="D450" s="175"/>
      <c r="E450" s="176">
        <v>9</v>
      </c>
      <c r="F450" s="196"/>
      <c r="G450" s="169"/>
      <c r="H450" s="169"/>
      <c r="I450" s="169"/>
      <c r="J450" s="169"/>
      <c r="K450" s="169"/>
      <c r="L450" s="169"/>
      <c r="M450" s="169"/>
      <c r="N450" s="170"/>
      <c r="O450" s="170"/>
      <c r="P450" s="170"/>
      <c r="Q450" s="170"/>
      <c r="R450" s="169"/>
      <c r="S450" s="169"/>
      <c r="T450" s="169"/>
      <c r="U450" s="169"/>
      <c r="V450" s="169"/>
      <c r="W450" s="169"/>
      <c r="X450" s="169"/>
      <c r="Y450" s="169"/>
      <c r="Z450" s="171"/>
      <c r="AA450" s="171"/>
      <c r="AB450" s="171"/>
      <c r="AC450" s="171"/>
      <c r="AD450" s="171"/>
      <c r="AE450" s="171"/>
      <c r="AF450" s="171"/>
      <c r="AG450" s="171" t="s">
        <v>148</v>
      </c>
      <c r="AH450" s="171">
        <v>0</v>
      </c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171"/>
      <c r="AT450" s="171"/>
      <c r="AU450" s="171"/>
      <c r="AV450" s="171"/>
      <c r="AW450" s="171"/>
      <c r="AX450" s="171"/>
      <c r="AY450" s="171"/>
      <c r="AZ450" s="171"/>
      <c r="BA450" s="171"/>
      <c r="BB450" s="171"/>
      <c r="BC450" s="171"/>
      <c r="BD450" s="171"/>
      <c r="BE450" s="171"/>
      <c r="BF450" s="171"/>
      <c r="BG450" s="171"/>
      <c r="BH450" s="171"/>
    </row>
    <row r="451" spans="1:60" ht="22.5" outlineLevel="1" x14ac:dyDescent="0.2">
      <c r="A451" s="162">
        <v>65</v>
      </c>
      <c r="B451" s="163" t="s">
        <v>495</v>
      </c>
      <c r="C451" s="164" t="s">
        <v>496</v>
      </c>
      <c r="D451" s="165" t="s">
        <v>230</v>
      </c>
      <c r="E451" s="166">
        <v>21</v>
      </c>
      <c r="F451" s="140"/>
      <c r="G451" s="167">
        <f>ROUND(E451*F451,2)</f>
        <v>0</v>
      </c>
      <c r="H451" s="168"/>
      <c r="I451" s="169">
        <f>ROUND(E451*H451,2)</f>
        <v>0</v>
      </c>
      <c r="J451" s="168"/>
      <c r="K451" s="169">
        <f>ROUND(E451*J451,2)</f>
        <v>0</v>
      </c>
      <c r="L451" s="169">
        <v>21</v>
      </c>
      <c r="M451" s="169">
        <f>G451*(1+L451/100)</f>
        <v>0</v>
      </c>
      <c r="N451" s="170">
        <v>0</v>
      </c>
      <c r="O451" s="170">
        <f>ROUND(E451*N451,2)</f>
        <v>0</v>
      </c>
      <c r="P451" s="170">
        <v>0</v>
      </c>
      <c r="Q451" s="170">
        <f>ROUND(E451*P451,2)</f>
        <v>0</v>
      </c>
      <c r="R451" s="169"/>
      <c r="S451" s="169" t="s">
        <v>213</v>
      </c>
      <c r="T451" s="169" t="s">
        <v>214</v>
      </c>
      <c r="U451" s="169">
        <v>0</v>
      </c>
      <c r="V451" s="169">
        <f>ROUND(E451*U451,2)</f>
        <v>0</v>
      </c>
      <c r="W451" s="169"/>
      <c r="X451" s="169" t="s">
        <v>144</v>
      </c>
      <c r="Y451" s="169" t="s">
        <v>145</v>
      </c>
      <c r="Z451" s="171"/>
      <c r="AA451" s="171"/>
      <c r="AB451" s="171"/>
      <c r="AC451" s="171"/>
      <c r="AD451" s="171"/>
      <c r="AE451" s="171"/>
      <c r="AF451" s="171"/>
      <c r="AG451" s="171" t="s">
        <v>146</v>
      </c>
      <c r="AH451" s="171"/>
      <c r="AI451" s="171"/>
      <c r="AJ451" s="171"/>
      <c r="AK451" s="171"/>
      <c r="AL451" s="171"/>
      <c r="AM451" s="171"/>
      <c r="AN451" s="171"/>
      <c r="AO451" s="171"/>
      <c r="AP451" s="171"/>
      <c r="AQ451" s="171"/>
      <c r="AR451" s="171"/>
      <c r="AS451" s="171"/>
      <c r="AT451" s="171"/>
      <c r="AU451" s="171"/>
      <c r="AV451" s="171"/>
      <c r="AW451" s="171"/>
      <c r="AX451" s="171"/>
      <c r="AY451" s="171"/>
      <c r="AZ451" s="171"/>
      <c r="BA451" s="171"/>
      <c r="BB451" s="171"/>
      <c r="BC451" s="171"/>
      <c r="BD451" s="171"/>
      <c r="BE451" s="171"/>
      <c r="BF451" s="171"/>
      <c r="BG451" s="171"/>
      <c r="BH451" s="171"/>
    </row>
    <row r="452" spans="1:60" outlineLevel="2" x14ac:dyDescent="0.2">
      <c r="A452" s="172"/>
      <c r="B452" s="173"/>
      <c r="C452" s="174" t="s">
        <v>497</v>
      </c>
      <c r="D452" s="175"/>
      <c r="E452" s="176">
        <v>21</v>
      </c>
      <c r="F452" s="196"/>
      <c r="G452" s="169"/>
      <c r="H452" s="169"/>
      <c r="I452" s="169"/>
      <c r="J452" s="169"/>
      <c r="K452" s="169"/>
      <c r="L452" s="169"/>
      <c r="M452" s="169"/>
      <c r="N452" s="170"/>
      <c r="O452" s="170"/>
      <c r="P452" s="170"/>
      <c r="Q452" s="170"/>
      <c r="R452" s="169"/>
      <c r="S452" s="169"/>
      <c r="T452" s="169"/>
      <c r="U452" s="169"/>
      <c r="V452" s="169"/>
      <c r="W452" s="169"/>
      <c r="X452" s="169"/>
      <c r="Y452" s="169"/>
      <c r="Z452" s="171"/>
      <c r="AA452" s="171"/>
      <c r="AB452" s="171"/>
      <c r="AC452" s="171"/>
      <c r="AD452" s="171"/>
      <c r="AE452" s="171"/>
      <c r="AF452" s="171"/>
      <c r="AG452" s="171" t="s">
        <v>148</v>
      </c>
      <c r="AH452" s="171">
        <v>0</v>
      </c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  <c r="AY452" s="171"/>
      <c r="AZ452" s="171"/>
      <c r="BA452" s="171"/>
      <c r="BB452" s="171"/>
      <c r="BC452" s="171"/>
      <c r="BD452" s="171"/>
      <c r="BE452" s="171"/>
      <c r="BF452" s="171"/>
      <c r="BG452" s="171"/>
      <c r="BH452" s="171"/>
    </row>
    <row r="453" spans="1:60" outlineLevel="1" x14ac:dyDescent="0.2">
      <c r="A453" s="162">
        <v>66</v>
      </c>
      <c r="B453" s="163" t="s">
        <v>498</v>
      </c>
      <c r="C453" s="164" t="s">
        <v>499</v>
      </c>
      <c r="D453" s="165" t="s">
        <v>230</v>
      </c>
      <c r="E453" s="166">
        <v>9</v>
      </c>
      <c r="F453" s="140"/>
      <c r="G453" s="167">
        <f>ROUND(E453*F453,2)</f>
        <v>0</v>
      </c>
      <c r="H453" s="168"/>
      <c r="I453" s="169">
        <f>ROUND(E453*H453,2)</f>
        <v>0</v>
      </c>
      <c r="J453" s="168"/>
      <c r="K453" s="169">
        <f>ROUND(E453*J453,2)</f>
        <v>0</v>
      </c>
      <c r="L453" s="169">
        <v>21</v>
      </c>
      <c r="M453" s="169">
        <f>G453*(1+L453/100)</f>
        <v>0</v>
      </c>
      <c r="N453" s="170">
        <v>0</v>
      </c>
      <c r="O453" s="170">
        <f>ROUND(E453*N453,2)</f>
        <v>0</v>
      </c>
      <c r="P453" s="170">
        <v>0</v>
      </c>
      <c r="Q453" s="170">
        <f>ROUND(E453*P453,2)</f>
        <v>0</v>
      </c>
      <c r="R453" s="169"/>
      <c r="S453" s="169" t="s">
        <v>213</v>
      </c>
      <c r="T453" s="169" t="s">
        <v>214</v>
      </c>
      <c r="U453" s="169">
        <v>0</v>
      </c>
      <c r="V453" s="169">
        <f>ROUND(E453*U453,2)</f>
        <v>0</v>
      </c>
      <c r="W453" s="169"/>
      <c r="X453" s="169" t="s">
        <v>144</v>
      </c>
      <c r="Y453" s="169" t="s">
        <v>145</v>
      </c>
      <c r="Z453" s="171"/>
      <c r="AA453" s="171"/>
      <c r="AB453" s="171"/>
      <c r="AC453" s="171"/>
      <c r="AD453" s="171"/>
      <c r="AE453" s="171"/>
      <c r="AF453" s="171"/>
      <c r="AG453" s="171" t="s">
        <v>146</v>
      </c>
      <c r="AH453" s="171"/>
      <c r="AI453" s="171"/>
      <c r="AJ453" s="171"/>
      <c r="AK453" s="171"/>
      <c r="AL453" s="171"/>
      <c r="AM453" s="171"/>
      <c r="AN453" s="171"/>
      <c r="AO453" s="171"/>
      <c r="AP453" s="171"/>
      <c r="AQ453" s="171"/>
      <c r="AR453" s="171"/>
      <c r="AS453" s="171"/>
      <c r="AT453" s="171"/>
      <c r="AU453" s="171"/>
      <c r="AV453" s="171"/>
      <c r="AW453" s="171"/>
      <c r="AX453" s="171"/>
      <c r="AY453" s="171"/>
      <c r="AZ453" s="171"/>
      <c r="BA453" s="171"/>
      <c r="BB453" s="171"/>
      <c r="BC453" s="171"/>
      <c r="BD453" s="171"/>
      <c r="BE453" s="171"/>
      <c r="BF453" s="171"/>
      <c r="BG453" s="171"/>
      <c r="BH453" s="171"/>
    </row>
    <row r="454" spans="1:60" outlineLevel="2" x14ac:dyDescent="0.2">
      <c r="A454" s="172"/>
      <c r="B454" s="173"/>
      <c r="C454" s="174" t="s">
        <v>492</v>
      </c>
      <c r="D454" s="175"/>
      <c r="E454" s="176">
        <v>9</v>
      </c>
      <c r="F454" s="196"/>
      <c r="G454" s="169"/>
      <c r="H454" s="169"/>
      <c r="I454" s="169"/>
      <c r="J454" s="169"/>
      <c r="K454" s="169"/>
      <c r="L454" s="169"/>
      <c r="M454" s="169"/>
      <c r="N454" s="170"/>
      <c r="O454" s="170"/>
      <c r="P454" s="170"/>
      <c r="Q454" s="170"/>
      <c r="R454" s="169"/>
      <c r="S454" s="169"/>
      <c r="T454" s="169"/>
      <c r="U454" s="169"/>
      <c r="V454" s="169"/>
      <c r="W454" s="169"/>
      <c r="X454" s="169"/>
      <c r="Y454" s="169"/>
      <c r="Z454" s="171"/>
      <c r="AA454" s="171"/>
      <c r="AB454" s="171"/>
      <c r="AC454" s="171"/>
      <c r="AD454" s="171"/>
      <c r="AE454" s="171"/>
      <c r="AF454" s="171"/>
      <c r="AG454" s="171" t="s">
        <v>148</v>
      </c>
      <c r="AH454" s="171">
        <v>0</v>
      </c>
      <c r="AI454" s="171"/>
      <c r="AJ454" s="171"/>
      <c r="AK454" s="171"/>
      <c r="AL454" s="171"/>
      <c r="AM454" s="171"/>
      <c r="AN454" s="171"/>
      <c r="AO454" s="171"/>
      <c r="AP454" s="171"/>
      <c r="AQ454" s="171"/>
      <c r="AR454" s="171"/>
      <c r="AS454" s="171"/>
      <c r="AT454" s="171"/>
      <c r="AU454" s="171"/>
      <c r="AV454" s="171"/>
      <c r="AW454" s="171"/>
      <c r="AX454" s="171"/>
      <c r="AY454" s="171"/>
      <c r="AZ454" s="171"/>
      <c r="BA454" s="171"/>
      <c r="BB454" s="171"/>
      <c r="BC454" s="171"/>
      <c r="BD454" s="171"/>
      <c r="BE454" s="171"/>
      <c r="BF454" s="171"/>
      <c r="BG454" s="171"/>
      <c r="BH454" s="171"/>
    </row>
    <row r="455" spans="1:60" ht="22.5" outlineLevel="1" x14ac:dyDescent="0.2">
      <c r="A455" s="172">
        <v>67</v>
      </c>
      <c r="B455" s="173" t="s">
        <v>500</v>
      </c>
      <c r="C455" s="186" t="s">
        <v>501</v>
      </c>
      <c r="D455" s="187" t="s">
        <v>0</v>
      </c>
      <c r="E455" s="142"/>
      <c r="F455" s="139"/>
      <c r="G455" s="169">
        <f>ROUND(E455*F455,2)</f>
        <v>0</v>
      </c>
      <c r="H455" s="168"/>
      <c r="I455" s="169">
        <f>ROUND(E455*H455,2)</f>
        <v>0</v>
      </c>
      <c r="J455" s="168"/>
      <c r="K455" s="169">
        <f>ROUND(E455*J455,2)</f>
        <v>0</v>
      </c>
      <c r="L455" s="169">
        <v>21</v>
      </c>
      <c r="M455" s="169">
        <f>G455*(1+L455/100)</f>
        <v>0</v>
      </c>
      <c r="N455" s="170">
        <v>0</v>
      </c>
      <c r="O455" s="170">
        <f>ROUND(E455*N455,2)</f>
        <v>0</v>
      </c>
      <c r="P455" s="170">
        <v>0</v>
      </c>
      <c r="Q455" s="170">
        <f>ROUND(E455*P455,2)</f>
        <v>0</v>
      </c>
      <c r="R455" s="169"/>
      <c r="S455" s="169" t="s">
        <v>143</v>
      </c>
      <c r="T455" s="169" t="s">
        <v>143</v>
      </c>
      <c r="U455" s="169">
        <v>0</v>
      </c>
      <c r="V455" s="169">
        <f>ROUND(E455*U455,2)</f>
        <v>0</v>
      </c>
      <c r="W455" s="169"/>
      <c r="X455" s="169" t="s">
        <v>448</v>
      </c>
      <c r="Y455" s="169" t="s">
        <v>145</v>
      </c>
      <c r="Z455" s="171"/>
      <c r="AA455" s="171"/>
      <c r="AB455" s="171"/>
      <c r="AC455" s="171"/>
      <c r="AD455" s="171"/>
      <c r="AE455" s="171"/>
      <c r="AF455" s="171"/>
      <c r="AG455" s="171" t="s">
        <v>449</v>
      </c>
      <c r="AH455" s="171"/>
      <c r="AI455" s="171"/>
      <c r="AJ455" s="171"/>
      <c r="AK455" s="171"/>
      <c r="AL455" s="171"/>
      <c r="AM455" s="171"/>
      <c r="AN455" s="171"/>
      <c r="AO455" s="171"/>
      <c r="AP455" s="171"/>
      <c r="AQ455" s="171"/>
      <c r="AR455" s="171"/>
      <c r="AS455" s="171"/>
      <c r="AT455" s="171"/>
      <c r="AU455" s="171"/>
      <c r="AV455" s="171"/>
      <c r="AW455" s="171"/>
      <c r="AX455" s="171"/>
      <c r="AY455" s="171"/>
      <c r="AZ455" s="171"/>
      <c r="BA455" s="171"/>
      <c r="BB455" s="171"/>
      <c r="BC455" s="171"/>
      <c r="BD455" s="171"/>
      <c r="BE455" s="171"/>
      <c r="BF455" s="171"/>
      <c r="BG455" s="171"/>
      <c r="BH455" s="171"/>
    </row>
    <row r="456" spans="1:60" x14ac:dyDescent="0.2">
      <c r="A456" s="153" t="s">
        <v>138</v>
      </c>
      <c r="B456" s="154" t="s">
        <v>89</v>
      </c>
      <c r="C456" s="155" t="s">
        <v>90</v>
      </c>
      <c r="D456" s="156"/>
      <c r="E456" s="157"/>
      <c r="F456" s="197"/>
      <c r="G456" s="159">
        <f>SUMIF(AG457:AG465,"&lt;&gt;NOR",G457:G465)</f>
        <v>0</v>
      </c>
      <c r="H456" s="160"/>
      <c r="I456" s="160">
        <f>SUM(I457:I465)</f>
        <v>0</v>
      </c>
      <c r="J456" s="160"/>
      <c r="K456" s="160">
        <f>SUM(K457:K465)</f>
        <v>0</v>
      </c>
      <c r="L456" s="160"/>
      <c r="M456" s="160">
        <f>SUM(M457:M465)</f>
        <v>0</v>
      </c>
      <c r="N456" s="161"/>
      <c r="O456" s="161">
        <f>SUM(O457:O465)</f>
        <v>0</v>
      </c>
      <c r="P456" s="161"/>
      <c r="Q456" s="161">
        <f>SUM(Q457:Q465)</f>
        <v>0</v>
      </c>
      <c r="R456" s="160"/>
      <c r="S456" s="160"/>
      <c r="T456" s="160"/>
      <c r="U456" s="160"/>
      <c r="V456" s="160">
        <f>SUM(V457:V465)</f>
        <v>1.23</v>
      </c>
      <c r="W456" s="160"/>
      <c r="X456" s="160"/>
      <c r="Y456" s="160"/>
      <c r="AG456" t="s">
        <v>139</v>
      </c>
    </row>
    <row r="457" spans="1:60" ht="22.5" outlineLevel="1" x14ac:dyDescent="0.2">
      <c r="A457" s="162">
        <v>68</v>
      </c>
      <c r="B457" s="163" t="s">
        <v>502</v>
      </c>
      <c r="C457" s="164" t="s">
        <v>503</v>
      </c>
      <c r="D457" s="165" t="s">
        <v>159</v>
      </c>
      <c r="E457" s="166">
        <v>1.8839999999999999</v>
      </c>
      <c r="F457" s="140"/>
      <c r="G457" s="167">
        <f>ROUND(E457*F457,2)</f>
        <v>0</v>
      </c>
      <c r="H457" s="168"/>
      <c r="I457" s="169">
        <f>ROUND(E457*H457,2)</f>
        <v>0</v>
      </c>
      <c r="J457" s="168"/>
      <c r="K457" s="169">
        <f>ROUND(E457*J457,2)</f>
        <v>0</v>
      </c>
      <c r="L457" s="169">
        <v>21</v>
      </c>
      <c r="M457" s="169">
        <f>G457*(1+L457/100)</f>
        <v>0</v>
      </c>
      <c r="N457" s="170">
        <v>2.1299999999999999E-3</v>
      </c>
      <c r="O457" s="170">
        <f>ROUND(E457*N457,2)</f>
        <v>0</v>
      </c>
      <c r="P457" s="170">
        <v>0</v>
      </c>
      <c r="Q457" s="170">
        <f>ROUND(E457*P457,2)</f>
        <v>0</v>
      </c>
      <c r="R457" s="169"/>
      <c r="S457" s="169" t="s">
        <v>143</v>
      </c>
      <c r="T457" s="169" t="s">
        <v>143</v>
      </c>
      <c r="U457" s="169">
        <v>0.47599999999999998</v>
      </c>
      <c r="V457" s="169">
        <f>ROUND(E457*U457,2)</f>
        <v>0.9</v>
      </c>
      <c r="W457" s="169"/>
      <c r="X457" s="169" t="s">
        <v>144</v>
      </c>
      <c r="Y457" s="169" t="s">
        <v>145</v>
      </c>
      <c r="Z457" s="171"/>
      <c r="AA457" s="171"/>
      <c r="AB457" s="171"/>
      <c r="AC457" s="171"/>
      <c r="AD457" s="171"/>
      <c r="AE457" s="171"/>
      <c r="AF457" s="171"/>
      <c r="AG457" s="171" t="s">
        <v>146</v>
      </c>
      <c r="AH457" s="171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</row>
    <row r="458" spans="1:60" outlineLevel="2" x14ac:dyDescent="0.2">
      <c r="A458" s="172"/>
      <c r="B458" s="173"/>
      <c r="C458" s="174" t="s">
        <v>504</v>
      </c>
      <c r="D458" s="175"/>
      <c r="E458" s="176">
        <v>1.8839999999999999</v>
      </c>
      <c r="F458" s="196"/>
      <c r="G458" s="169"/>
      <c r="H458" s="169"/>
      <c r="I458" s="169"/>
      <c r="J458" s="169"/>
      <c r="K458" s="169"/>
      <c r="L458" s="169"/>
      <c r="M458" s="169"/>
      <c r="N458" s="170"/>
      <c r="O458" s="170"/>
      <c r="P458" s="170"/>
      <c r="Q458" s="170"/>
      <c r="R458" s="169"/>
      <c r="S458" s="169"/>
      <c r="T458" s="169"/>
      <c r="U458" s="169"/>
      <c r="V458" s="169"/>
      <c r="W458" s="169"/>
      <c r="X458" s="169"/>
      <c r="Y458" s="169"/>
      <c r="Z458" s="171"/>
      <c r="AA458" s="171"/>
      <c r="AB458" s="171"/>
      <c r="AC458" s="171"/>
      <c r="AD458" s="171"/>
      <c r="AE458" s="171"/>
      <c r="AF458" s="171"/>
      <c r="AG458" s="171" t="s">
        <v>148</v>
      </c>
      <c r="AH458" s="171">
        <v>0</v>
      </c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  <c r="AY458" s="171"/>
      <c r="AZ458" s="171"/>
      <c r="BA458" s="171"/>
      <c r="BB458" s="171"/>
      <c r="BC458" s="171"/>
      <c r="BD458" s="171"/>
      <c r="BE458" s="171"/>
      <c r="BF458" s="171"/>
      <c r="BG458" s="171"/>
      <c r="BH458" s="171"/>
    </row>
    <row r="459" spans="1:60" ht="33.75" outlineLevel="1" x14ac:dyDescent="0.2">
      <c r="A459" s="177">
        <v>69</v>
      </c>
      <c r="B459" s="178" t="s">
        <v>505</v>
      </c>
      <c r="C459" s="179" t="s">
        <v>506</v>
      </c>
      <c r="D459" s="180" t="s">
        <v>375</v>
      </c>
      <c r="E459" s="181">
        <v>1</v>
      </c>
      <c r="F459" s="141"/>
      <c r="G459" s="182">
        <f t="shared" ref="G459:G465" si="0">ROUND(E459*F459,2)</f>
        <v>0</v>
      </c>
      <c r="H459" s="168"/>
      <c r="I459" s="169">
        <f t="shared" ref="I459:I465" si="1">ROUND(E459*H459,2)</f>
        <v>0</v>
      </c>
      <c r="J459" s="168"/>
      <c r="K459" s="169">
        <f t="shared" ref="K459:K465" si="2">ROUND(E459*J459,2)</f>
        <v>0</v>
      </c>
      <c r="L459" s="169">
        <v>21</v>
      </c>
      <c r="M459" s="169">
        <f t="shared" ref="M459:M465" si="3">G459*(1+L459/100)</f>
        <v>0</v>
      </c>
      <c r="N459" s="170">
        <v>0</v>
      </c>
      <c r="O459" s="170">
        <f t="shared" ref="O459:O465" si="4">ROUND(E459*N459,2)</f>
        <v>0</v>
      </c>
      <c r="P459" s="170">
        <v>0</v>
      </c>
      <c r="Q459" s="170">
        <f t="shared" ref="Q459:Q465" si="5">ROUND(E459*P459,2)</f>
        <v>0</v>
      </c>
      <c r="R459" s="169"/>
      <c r="S459" s="169" t="s">
        <v>143</v>
      </c>
      <c r="T459" s="169" t="s">
        <v>143</v>
      </c>
      <c r="U459" s="169">
        <v>0.33</v>
      </c>
      <c r="V459" s="169">
        <f t="shared" ref="V459:V465" si="6">ROUND(E459*U459,2)</f>
        <v>0.33</v>
      </c>
      <c r="W459" s="169"/>
      <c r="X459" s="169" t="s">
        <v>144</v>
      </c>
      <c r="Y459" s="169" t="s">
        <v>145</v>
      </c>
      <c r="Z459" s="171"/>
      <c r="AA459" s="171"/>
      <c r="AB459" s="171"/>
      <c r="AC459" s="171"/>
      <c r="AD459" s="171"/>
      <c r="AE459" s="171"/>
      <c r="AF459" s="171"/>
      <c r="AG459" s="171" t="s">
        <v>146</v>
      </c>
      <c r="AH459" s="171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  <c r="AY459" s="171"/>
      <c r="AZ459" s="171"/>
      <c r="BA459" s="171"/>
      <c r="BB459" s="171"/>
      <c r="BC459" s="171"/>
      <c r="BD459" s="171"/>
      <c r="BE459" s="171"/>
      <c r="BF459" s="171"/>
      <c r="BG459" s="171"/>
      <c r="BH459" s="171"/>
    </row>
    <row r="460" spans="1:60" ht="22.5" outlineLevel="1" x14ac:dyDescent="0.2">
      <c r="A460" s="177">
        <v>70</v>
      </c>
      <c r="B460" s="178" t="s">
        <v>507</v>
      </c>
      <c r="C460" s="179" t="s">
        <v>508</v>
      </c>
      <c r="D460" s="180" t="s">
        <v>300</v>
      </c>
      <c r="E460" s="181">
        <v>3</v>
      </c>
      <c r="F460" s="141"/>
      <c r="G460" s="182">
        <f t="shared" si="0"/>
        <v>0</v>
      </c>
      <c r="H460" s="168"/>
      <c r="I460" s="169">
        <f t="shared" si="1"/>
        <v>0</v>
      </c>
      <c r="J460" s="168"/>
      <c r="K460" s="169">
        <f t="shared" si="2"/>
        <v>0</v>
      </c>
      <c r="L460" s="169">
        <v>21</v>
      </c>
      <c r="M460" s="169">
        <f t="shared" si="3"/>
        <v>0</v>
      </c>
      <c r="N460" s="170">
        <v>0</v>
      </c>
      <c r="O460" s="170">
        <f t="shared" si="4"/>
        <v>0</v>
      </c>
      <c r="P460" s="170">
        <v>0</v>
      </c>
      <c r="Q460" s="170">
        <f t="shared" si="5"/>
        <v>0</v>
      </c>
      <c r="R460" s="169"/>
      <c r="S460" s="169" t="s">
        <v>213</v>
      </c>
      <c r="T460" s="169" t="s">
        <v>214</v>
      </c>
      <c r="U460" s="169">
        <v>0</v>
      </c>
      <c r="V460" s="169">
        <f t="shared" si="6"/>
        <v>0</v>
      </c>
      <c r="W460" s="169"/>
      <c r="X460" s="169" t="s">
        <v>144</v>
      </c>
      <c r="Y460" s="169" t="s">
        <v>145</v>
      </c>
      <c r="Z460" s="171"/>
      <c r="AA460" s="171"/>
      <c r="AB460" s="171"/>
      <c r="AC460" s="171"/>
      <c r="AD460" s="171"/>
      <c r="AE460" s="171"/>
      <c r="AF460" s="171"/>
      <c r="AG460" s="171" t="s">
        <v>146</v>
      </c>
      <c r="AH460" s="171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  <c r="AY460" s="171"/>
      <c r="AZ460" s="171"/>
      <c r="BA460" s="171"/>
      <c r="BB460" s="171"/>
      <c r="BC460" s="171"/>
      <c r="BD460" s="171"/>
      <c r="BE460" s="171"/>
      <c r="BF460" s="171"/>
      <c r="BG460" s="171"/>
      <c r="BH460" s="171"/>
    </row>
    <row r="461" spans="1:60" ht="22.5" outlineLevel="1" x14ac:dyDescent="0.2">
      <c r="A461" s="177">
        <v>71</v>
      </c>
      <c r="B461" s="178" t="s">
        <v>509</v>
      </c>
      <c r="C461" s="179" t="s">
        <v>510</v>
      </c>
      <c r="D461" s="180" t="s">
        <v>300</v>
      </c>
      <c r="E461" s="181">
        <v>1</v>
      </c>
      <c r="F461" s="141"/>
      <c r="G461" s="182">
        <f t="shared" si="0"/>
        <v>0</v>
      </c>
      <c r="H461" s="168"/>
      <c r="I461" s="169">
        <f t="shared" si="1"/>
        <v>0</v>
      </c>
      <c r="J461" s="168"/>
      <c r="K461" s="169">
        <f t="shared" si="2"/>
        <v>0</v>
      </c>
      <c r="L461" s="169">
        <v>21</v>
      </c>
      <c r="M461" s="169">
        <f t="shared" si="3"/>
        <v>0</v>
      </c>
      <c r="N461" s="170">
        <v>0</v>
      </c>
      <c r="O461" s="170">
        <f t="shared" si="4"/>
        <v>0</v>
      </c>
      <c r="P461" s="170">
        <v>0</v>
      </c>
      <c r="Q461" s="170">
        <f t="shared" si="5"/>
        <v>0</v>
      </c>
      <c r="R461" s="169"/>
      <c r="S461" s="169" t="s">
        <v>213</v>
      </c>
      <c r="T461" s="169" t="s">
        <v>214</v>
      </c>
      <c r="U461" s="169">
        <v>0</v>
      </c>
      <c r="V461" s="169">
        <f t="shared" si="6"/>
        <v>0</v>
      </c>
      <c r="W461" s="169"/>
      <c r="X461" s="169" t="s">
        <v>144</v>
      </c>
      <c r="Y461" s="169" t="s">
        <v>145</v>
      </c>
      <c r="Z461" s="171"/>
      <c r="AA461" s="171"/>
      <c r="AB461" s="171"/>
      <c r="AC461" s="171"/>
      <c r="AD461" s="171"/>
      <c r="AE461" s="171"/>
      <c r="AF461" s="171"/>
      <c r="AG461" s="171" t="s">
        <v>146</v>
      </c>
      <c r="AH461" s="171"/>
      <c r="AI461" s="171"/>
      <c r="AJ461" s="171"/>
      <c r="AK461" s="171"/>
      <c r="AL461" s="171"/>
      <c r="AM461" s="171"/>
      <c r="AN461" s="171"/>
      <c r="AO461" s="171"/>
      <c r="AP461" s="171"/>
      <c r="AQ461" s="171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71"/>
      <c r="BB461" s="171"/>
      <c r="BC461" s="171"/>
      <c r="BD461" s="171"/>
      <c r="BE461" s="171"/>
      <c r="BF461" s="171"/>
      <c r="BG461" s="171"/>
      <c r="BH461" s="171"/>
    </row>
    <row r="462" spans="1:60" outlineLevel="1" x14ac:dyDescent="0.2">
      <c r="A462" s="177">
        <v>72</v>
      </c>
      <c r="B462" s="178" t="s">
        <v>511</v>
      </c>
      <c r="C462" s="179" t="s">
        <v>512</v>
      </c>
      <c r="D462" s="180" t="s">
        <v>300</v>
      </c>
      <c r="E462" s="181">
        <v>6</v>
      </c>
      <c r="F462" s="141"/>
      <c r="G462" s="182">
        <f t="shared" si="0"/>
        <v>0</v>
      </c>
      <c r="H462" s="168"/>
      <c r="I462" s="169">
        <f t="shared" si="1"/>
        <v>0</v>
      </c>
      <c r="J462" s="168"/>
      <c r="K462" s="169">
        <f t="shared" si="2"/>
        <v>0</v>
      </c>
      <c r="L462" s="169">
        <v>21</v>
      </c>
      <c r="M462" s="169">
        <f t="shared" si="3"/>
        <v>0</v>
      </c>
      <c r="N462" s="170">
        <v>0</v>
      </c>
      <c r="O462" s="170">
        <f t="shared" si="4"/>
        <v>0</v>
      </c>
      <c r="P462" s="170">
        <v>0</v>
      </c>
      <c r="Q462" s="170">
        <f t="shared" si="5"/>
        <v>0</v>
      </c>
      <c r="R462" s="169"/>
      <c r="S462" s="169" t="s">
        <v>213</v>
      </c>
      <c r="T462" s="169" t="s">
        <v>214</v>
      </c>
      <c r="U462" s="169">
        <v>0</v>
      </c>
      <c r="V462" s="169">
        <f t="shared" si="6"/>
        <v>0</v>
      </c>
      <c r="W462" s="169"/>
      <c r="X462" s="169" t="s">
        <v>144</v>
      </c>
      <c r="Y462" s="169" t="s">
        <v>145</v>
      </c>
      <c r="Z462" s="171"/>
      <c r="AA462" s="171"/>
      <c r="AB462" s="171"/>
      <c r="AC462" s="171"/>
      <c r="AD462" s="171"/>
      <c r="AE462" s="171"/>
      <c r="AF462" s="171"/>
      <c r="AG462" s="171" t="s">
        <v>146</v>
      </c>
      <c r="AH462" s="171"/>
      <c r="AI462" s="171"/>
      <c r="AJ462" s="171"/>
      <c r="AK462" s="171"/>
      <c r="AL462" s="171"/>
      <c r="AM462" s="171"/>
      <c r="AN462" s="171"/>
      <c r="AO462" s="171"/>
      <c r="AP462" s="171"/>
      <c r="AQ462" s="171"/>
      <c r="AR462" s="171"/>
      <c r="AS462" s="171"/>
      <c r="AT462" s="171"/>
      <c r="AU462" s="171"/>
      <c r="AV462" s="171"/>
      <c r="AW462" s="171"/>
      <c r="AX462" s="171"/>
      <c r="AY462" s="171"/>
      <c r="AZ462" s="171"/>
      <c r="BA462" s="171"/>
      <c r="BB462" s="171"/>
      <c r="BC462" s="171"/>
      <c r="BD462" s="171"/>
      <c r="BE462" s="171"/>
      <c r="BF462" s="171"/>
      <c r="BG462" s="171"/>
      <c r="BH462" s="171"/>
    </row>
    <row r="463" spans="1:60" ht="33.75" outlineLevel="1" x14ac:dyDescent="0.2">
      <c r="A463" s="177">
        <v>73</v>
      </c>
      <c r="B463" s="178" t="s">
        <v>513</v>
      </c>
      <c r="C463" s="179" t="s">
        <v>514</v>
      </c>
      <c r="D463" s="180" t="s">
        <v>230</v>
      </c>
      <c r="E463" s="181">
        <v>6</v>
      </c>
      <c r="F463" s="141"/>
      <c r="G463" s="182">
        <f t="shared" si="0"/>
        <v>0</v>
      </c>
      <c r="H463" s="168"/>
      <c r="I463" s="169">
        <f t="shared" si="1"/>
        <v>0</v>
      </c>
      <c r="J463" s="168"/>
      <c r="K463" s="169">
        <f t="shared" si="2"/>
        <v>0</v>
      </c>
      <c r="L463" s="169">
        <v>21</v>
      </c>
      <c r="M463" s="169">
        <f t="shared" si="3"/>
        <v>0</v>
      </c>
      <c r="N463" s="170">
        <v>0</v>
      </c>
      <c r="O463" s="170">
        <f t="shared" si="4"/>
        <v>0</v>
      </c>
      <c r="P463" s="170">
        <v>0</v>
      </c>
      <c r="Q463" s="170">
        <f t="shared" si="5"/>
        <v>0</v>
      </c>
      <c r="R463" s="169"/>
      <c r="S463" s="169" t="s">
        <v>213</v>
      </c>
      <c r="T463" s="169" t="s">
        <v>214</v>
      </c>
      <c r="U463" s="169">
        <v>0</v>
      </c>
      <c r="V463" s="169">
        <f t="shared" si="6"/>
        <v>0</v>
      </c>
      <c r="W463" s="169"/>
      <c r="X463" s="169" t="s">
        <v>144</v>
      </c>
      <c r="Y463" s="169" t="s">
        <v>145</v>
      </c>
      <c r="Z463" s="171"/>
      <c r="AA463" s="171"/>
      <c r="AB463" s="171"/>
      <c r="AC463" s="171"/>
      <c r="AD463" s="171"/>
      <c r="AE463" s="171"/>
      <c r="AF463" s="171"/>
      <c r="AG463" s="171" t="s">
        <v>146</v>
      </c>
      <c r="AH463" s="171"/>
      <c r="AI463" s="171"/>
      <c r="AJ463" s="171"/>
      <c r="AK463" s="171"/>
      <c r="AL463" s="171"/>
      <c r="AM463" s="171"/>
      <c r="AN463" s="171"/>
      <c r="AO463" s="171"/>
      <c r="AP463" s="171"/>
      <c r="AQ463" s="171"/>
      <c r="AR463" s="171"/>
      <c r="AS463" s="171"/>
      <c r="AT463" s="171"/>
      <c r="AU463" s="171"/>
      <c r="AV463" s="171"/>
      <c r="AW463" s="171"/>
      <c r="AX463" s="171"/>
      <c r="AY463" s="171"/>
      <c r="AZ463" s="171"/>
      <c r="BA463" s="171"/>
      <c r="BB463" s="171"/>
      <c r="BC463" s="171"/>
      <c r="BD463" s="171"/>
      <c r="BE463" s="171"/>
      <c r="BF463" s="171"/>
      <c r="BG463" s="171"/>
      <c r="BH463" s="171"/>
    </row>
    <row r="464" spans="1:60" ht="33.75" outlineLevel="1" x14ac:dyDescent="0.2">
      <c r="A464" s="177">
        <v>74</v>
      </c>
      <c r="B464" s="178" t="s">
        <v>515</v>
      </c>
      <c r="C464" s="179" t="s">
        <v>516</v>
      </c>
      <c r="D464" s="180" t="s">
        <v>230</v>
      </c>
      <c r="E464" s="181">
        <v>3</v>
      </c>
      <c r="F464" s="141"/>
      <c r="G464" s="182">
        <f t="shared" si="0"/>
        <v>0</v>
      </c>
      <c r="H464" s="168"/>
      <c r="I464" s="169">
        <f t="shared" si="1"/>
        <v>0</v>
      </c>
      <c r="J464" s="168"/>
      <c r="K464" s="169">
        <f t="shared" si="2"/>
        <v>0</v>
      </c>
      <c r="L464" s="169">
        <v>21</v>
      </c>
      <c r="M464" s="169">
        <f t="shared" si="3"/>
        <v>0</v>
      </c>
      <c r="N464" s="170">
        <v>0</v>
      </c>
      <c r="O464" s="170">
        <f t="shared" si="4"/>
        <v>0</v>
      </c>
      <c r="P464" s="170">
        <v>0</v>
      </c>
      <c r="Q464" s="170">
        <f t="shared" si="5"/>
        <v>0</v>
      </c>
      <c r="R464" s="169"/>
      <c r="S464" s="169" t="s">
        <v>213</v>
      </c>
      <c r="T464" s="169" t="s">
        <v>214</v>
      </c>
      <c r="U464" s="169">
        <v>0</v>
      </c>
      <c r="V464" s="169">
        <f t="shared" si="6"/>
        <v>0</v>
      </c>
      <c r="W464" s="169"/>
      <c r="X464" s="169" t="s">
        <v>144</v>
      </c>
      <c r="Y464" s="169" t="s">
        <v>145</v>
      </c>
      <c r="Z464" s="171"/>
      <c r="AA464" s="171"/>
      <c r="AB464" s="171"/>
      <c r="AC464" s="171"/>
      <c r="AD464" s="171"/>
      <c r="AE464" s="171"/>
      <c r="AF464" s="171"/>
      <c r="AG464" s="171" t="s">
        <v>146</v>
      </c>
      <c r="AH464" s="171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  <c r="AY464" s="171"/>
      <c r="AZ464" s="171"/>
      <c r="BA464" s="171"/>
      <c r="BB464" s="171"/>
      <c r="BC464" s="171"/>
      <c r="BD464" s="171"/>
      <c r="BE464" s="171"/>
      <c r="BF464" s="171"/>
      <c r="BG464" s="171"/>
      <c r="BH464" s="171"/>
    </row>
    <row r="465" spans="1:60" outlineLevel="1" x14ac:dyDescent="0.2">
      <c r="A465" s="177">
        <v>75</v>
      </c>
      <c r="B465" s="178" t="s">
        <v>517</v>
      </c>
      <c r="C465" s="179" t="s">
        <v>483</v>
      </c>
      <c r="D465" s="180" t="s">
        <v>0</v>
      </c>
      <c r="E465" s="142"/>
      <c r="F465" s="141"/>
      <c r="G465" s="182">
        <f t="shared" si="0"/>
        <v>0</v>
      </c>
      <c r="H465" s="168"/>
      <c r="I465" s="169">
        <f t="shared" si="1"/>
        <v>0</v>
      </c>
      <c r="J465" s="168"/>
      <c r="K465" s="169">
        <f t="shared" si="2"/>
        <v>0</v>
      </c>
      <c r="L465" s="169">
        <v>21</v>
      </c>
      <c r="M465" s="169">
        <f t="shared" si="3"/>
        <v>0</v>
      </c>
      <c r="N465" s="170">
        <v>0</v>
      </c>
      <c r="O465" s="170">
        <f t="shared" si="4"/>
        <v>0</v>
      </c>
      <c r="P465" s="170">
        <v>0</v>
      </c>
      <c r="Q465" s="170">
        <f t="shared" si="5"/>
        <v>0</v>
      </c>
      <c r="R465" s="169"/>
      <c r="S465" s="169" t="s">
        <v>213</v>
      </c>
      <c r="T465" s="169" t="s">
        <v>214</v>
      </c>
      <c r="U465" s="169">
        <v>0</v>
      </c>
      <c r="V465" s="169">
        <f t="shared" si="6"/>
        <v>0</v>
      </c>
      <c r="W465" s="169"/>
      <c r="X465" s="169" t="s">
        <v>144</v>
      </c>
      <c r="Y465" s="169" t="s">
        <v>145</v>
      </c>
      <c r="Z465" s="171"/>
      <c r="AA465" s="171"/>
      <c r="AB465" s="171"/>
      <c r="AC465" s="171"/>
      <c r="AD465" s="171"/>
      <c r="AE465" s="171"/>
      <c r="AF465" s="171"/>
      <c r="AG465" s="171" t="s">
        <v>146</v>
      </c>
      <c r="AH465" s="171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71"/>
      <c r="AT465" s="171"/>
      <c r="AU465" s="171"/>
      <c r="AV465" s="171"/>
      <c r="AW465" s="171"/>
      <c r="AX465" s="171"/>
      <c r="AY465" s="171"/>
      <c r="AZ465" s="171"/>
      <c r="BA465" s="171"/>
      <c r="BB465" s="171"/>
      <c r="BC465" s="171"/>
      <c r="BD465" s="171"/>
      <c r="BE465" s="171"/>
      <c r="BF465" s="171"/>
      <c r="BG465" s="171"/>
      <c r="BH465" s="171"/>
    </row>
    <row r="466" spans="1:60" x14ac:dyDescent="0.2">
      <c r="A466" s="153" t="s">
        <v>138</v>
      </c>
      <c r="B466" s="154" t="s">
        <v>91</v>
      </c>
      <c r="C466" s="155" t="s">
        <v>92</v>
      </c>
      <c r="D466" s="156"/>
      <c r="E466" s="157"/>
      <c r="F466" s="197"/>
      <c r="G466" s="159">
        <f>SUMIF(AG467:AG467,"&lt;&gt;NOR",G467:G467)</f>
        <v>0</v>
      </c>
      <c r="H466" s="160"/>
      <c r="I466" s="160">
        <f>SUM(I467:I467)</f>
        <v>0</v>
      </c>
      <c r="J466" s="160"/>
      <c r="K466" s="160">
        <f>SUM(K467:K467)</f>
        <v>0</v>
      </c>
      <c r="L466" s="160"/>
      <c r="M466" s="160">
        <f>SUM(M467:M467)</f>
        <v>0</v>
      </c>
      <c r="N466" s="161"/>
      <c r="O466" s="161">
        <f>SUM(O467:O467)</f>
        <v>0</v>
      </c>
      <c r="P466" s="161"/>
      <c r="Q466" s="161">
        <f>SUM(Q467:Q467)</f>
        <v>0</v>
      </c>
      <c r="R466" s="160"/>
      <c r="S466" s="160"/>
      <c r="T466" s="160"/>
      <c r="U466" s="160"/>
      <c r="V466" s="160">
        <f>SUM(V467:V467)</f>
        <v>0</v>
      </c>
      <c r="W466" s="160"/>
      <c r="X466" s="160"/>
      <c r="Y466" s="160"/>
      <c r="AG466" t="s">
        <v>139</v>
      </c>
    </row>
    <row r="467" spans="1:60" outlineLevel="1" x14ac:dyDescent="0.2">
      <c r="A467" s="177">
        <v>76</v>
      </c>
      <c r="B467" s="178" t="s">
        <v>518</v>
      </c>
      <c r="C467" s="179" t="s">
        <v>519</v>
      </c>
      <c r="D467" s="180" t="s">
        <v>300</v>
      </c>
      <c r="E467" s="181">
        <v>1</v>
      </c>
      <c r="F467" s="141">
        <f>ÚT!G2</f>
        <v>0</v>
      </c>
      <c r="G467" s="182">
        <f>ROUND(E467*F467,2)</f>
        <v>0</v>
      </c>
      <c r="H467" s="168"/>
      <c r="I467" s="169">
        <f>ROUND(E467*H467,2)</f>
        <v>0</v>
      </c>
      <c r="J467" s="168"/>
      <c r="K467" s="169">
        <f>ROUND(E467*J467,2)</f>
        <v>0</v>
      </c>
      <c r="L467" s="169">
        <v>21</v>
      </c>
      <c r="M467" s="169">
        <f>G467*(1+L467/100)</f>
        <v>0</v>
      </c>
      <c r="N467" s="170">
        <v>0</v>
      </c>
      <c r="O467" s="170">
        <f>ROUND(E467*N467,2)</f>
        <v>0</v>
      </c>
      <c r="P467" s="170">
        <v>0</v>
      </c>
      <c r="Q467" s="170">
        <f>ROUND(E467*P467,2)</f>
        <v>0</v>
      </c>
      <c r="R467" s="169"/>
      <c r="S467" s="169" t="s">
        <v>213</v>
      </c>
      <c r="T467" s="169" t="s">
        <v>214</v>
      </c>
      <c r="U467" s="169">
        <v>0</v>
      </c>
      <c r="V467" s="169">
        <f>ROUND(E467*U467,2)</f>
        <v>0</v>
      </c>
      <c r="W467" s="169"/>
      <c r="X467" s="169" t="s">
        <v>144</v>
      </c>
      <c r="Y467" s="169" t="s">
        <v>145</v>
      </c>
      <c r="Z467" s="171"/>
      <c r="AA467" s="171"/>
      <c r="AB467" s="171"/>
      <c r="AC467" s="171"/>
      <c r="AD467" s="171"/>
      <c r="AE467" s="171"/>
      <c r="AF467" s="171"/>
      <c r="AG467" s="171" t="s">
        <v>146</v>
      </c>
      <c r="AH467" s="171"/>
      <c r="AI467" s="171"/>
      <c r="AJ467" s="171"/>
      <c r="AK467" s="171"/>
      <c r="AL467" s="171"/>
      <c r="AM467" s="171"/>
      <c r="AN467" s="171"/>
      <c r="AO467" s="171"/>
      <c r="AP467" s="171"/>
      <c r="AQ467" s="171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71"/>
      <c r="BB467" s="171"/>
      <c r="BC467" s="171"/>
      <c r="BD467" s="171"/>
      <c r="BE467" s="171"/>
      <c r="BF467" s="171"/>
      <c r="BG467" s="171"/>
      <c r="BH467" s="171"/>
    </row>
    <row r="468" spans="1:60" x14ac:dyDescent="0.2">
      <c r="A468" s="153" t="s">
        <v>138</v>
      </c>
      <c r="B468" s="154" t="s">
        <v>93</v>
      </c>
      <c r="C468" s="155" t="s">
        <v>94</v>
      </c>
      <c r="D468" s="156"/>
      <c r="E468" s="157"/>
      <c r="F468" s="197"/>
      <c r="G468" s="159">
        <f>SUMIF(AG469:AG509,"&lt;&gt;NOR",G469:G509)</f>
        <v>0</v>
      </c>
      <c r="H468" s="160"/>
      <c r="I468" s="160">
        <f>SUM(I469:I509)</f>
        <v>0</v>
      </c>
      <c r="J468" s="160"/>
      <c r="K468" s="160">
        <f>SUM(K469:K509)</f>
        <v>0</v>
      </c>
      <c r="L468" s="160"/>
      <c r="M468" s="160">
        <f>SUM(M469:M509)</f>
        <v>0</v>
      </c>
      <c r="N468" s="161"/>
      <c r="O468" s="161">
        <f>SUM(O469:O509)</f>
        <v>0.52</v>
      </c>
      <c r="P468" s="161"/>
      <c r="Q468" s="161">
        <f>SUM(Q469:Q509)</f>
        <v>0.69</v>
      </c>
      <c r="R468" s="160"/>
      <c r="S468" s="160"/>
      <c r="T468" s="160"/>
      <c r="U468" s="160"/>
      <c r="V468" s="160">
        <f>SUM(V469:V509)</f>
        <v>74.37</v>
      </c>
      <c r="W468" s="160"/>
      <c r="X468" s="160"/>
      <c r="Y468" s="160"/>
      <c r="AG468" t="s">
        <v>139</v>
      </c>
    </row>
    <row r="469" spans="1:60" outlineLevel="1" x14ac:dyDescent="0.2">
      <c r="A469" s="162">
        <v>77</v>
      </c>
      <c r="B469" s="163" t="s">
        <v>520</v>
      </c>
      <c r="C469" s="164" t="s">
        <v>521</v>
      </c>
      <c r="D469" s="165" t="s">
        <v>159</v>
      </c>
      <c r="E469" s="166">
        <v>40.98</v>
      </c>
      <c r="F469" s="140"/>
      <c r="G469" s="167">
        <f>ROUND(E469*F469,2)</f>
        <v>0</v>
      </c>
      <c r="H469" s="168"/>
      <c r="I469" s="169">
        <f>ROUND(E469*H469,2)</f>
        <v>0</v>
      </c>
      <c r="J469" s="168"/>
      <c r="K469" s="169">
        <f>ROUND(E469*J469,2)</f>
        <v>0</v>
      </c>
      <c r="L469" s="169">
        <v>21</v>
      </c>
      <c r="M469" s="169">
        <f>G469*(1+L469/100)</f>
        <v>0</v>
      </c>
      <c r="N469" s="170">
        <v>0</v>
      </c>
      <c r="O469" s="170">
        <f>ROUND(E469*N469,2)</f>
        <v>0</v>
      </c>
      <c r="P469" s="170">
        <v>1.695E-2</v>
      </c>
      <c r="Q469" s="170">
        <f>ROUND(E469*P469,2)</f>
        <v>0.69</v>
      </c>
      <c r="R469" s="169"/>
      <c r="S469" s="169" t="s">
        <v>143</v>
      </c>
      <c r="T469" s="169" t="s">
        <v>143</v>
      </c>
      <c r="U469" s="169">
        <v>0.16400000000000001</v>
      </c>
      <c r="V469" s="169">
        <f>ROUND(E469*U469,2)</f>
        <v>6.72</v>
      </c>
      <c r="W469" s="169"/>
      <c r="X469" s="169" t="s">
        <v>144</v>
      </c>
      <c r="Y469" s="169" t="s">
        <v>145</v>
      </c>
      <c r="Z469" s="171"/>
      <c r="AA469" s="171"/>
      <c r="AB469" s="171"/>
      <c r="AC469" s="171"/>
      <c r="AD469" s="171"/>
      <c r="AE469" s="171"/>
      <c r="AF469" s="171"/>
      <c r="AG469" s="171" t="s">
        <v>146</v>
      </c>
      <c r="AH469" s="171"/>
      <c r="AI469" s="171"/>
      <c r="AJ469" s="171"/>
      <c r="AK469" s="171"/>
      <c r="AL469" s="171"/>
      <c r="AM469" s="171"/>
      <c r="AN469" s="171"/>
      <c r="AO469" s="171"/>
      <c r="AP469" s="171"/>
      <c r="AQ469" s="171"/>
      <c r="AR469" s="171"/>
      <c r="AS469" s="171"/>
      <c r="AT469" s="171"/>
      <c r="AU469" s="171"/>
      <c r="AV469" s="171"/>
      <c r="AW469" s="171"/>
      <c r="AX469" s="171"/>
      <c r="AY469" s="171"/>
      <c r="AZ469" s="171"/>
      <c r="BA469" s="171"/>
      <c r="BB469" s="171"/>
      <c r="BC469" s="171"/>
      <c r="BD469" s="171"/>
      <c r="BE469" s="171"/>
      <c r="BF469" s="171"/>
      <c r="BG469" s="171"/>
      <c r="BH469" s="171"/>
    </row>
    <row r="470" spans="1:60" outlineLevel="2" x14ac:dyDescent="0.2">
      <c r="A470" s="172"/>
      <c r="B470" s="173"/>
      <c r="C470" s="174" t="s">
        <v>149</v>
      </c>
      <c r="D470" s="175"/>
      <c r="E470" s="176"/>
      <c r="F470" s="196"/>
      <c r="G470" s="169"/>
      <c r="H470" s="169"/>
      <c r="I470" s="169"/>
      <c r="J470" s="169"/>
      <c r="K470" s="169"/>
      <c r="L470" s="169"/>
      <c r="M470" s="169"/>
      <c r="N470" s="170"/>
      <c r="O470" s="170"/>
      <c r="P470" s="170"/>
      <c r="Q470" s="170"/>
      <c r="R470" s="169"/>
      <c r="S470" s="169"/>
      <c r="T470" s="169"/>
      <c r="U470" s="169"/>
      <c r="V470" s="169"/>
      <c r="W470" s="169"/>
      <c r="X470" s="169"/>
      <c r="Y470" s="169"/>
      <c r="Z470" s="171"/>
      <c r="AA470" s="171"/>
      <c r="AB470" s="171"/>
      <c r="AC470" s="171"/>
      <c r="AD470" s="171"/>
      <c r="AE470" s="171"/>
      <c r="AF470" s="171"/>
      <c r="AG470" s="171" t="s">
        <v>148</v>
      </c>
      <c r="AH470" s="171">
        <v>0</v>
      </c>
      <c r="AI470" s="171"/>
      <c r="AJ470" s="171"/>
      <c r="AK470" s="171"/>
      <c r="AL470" s="171"/>
      <c r="AM470" s="171"/>
      <c r="AN470" s="171"/>
      <c r="AO470" s="171"/>
      <c r="AP470" s="171"/>
      <c r="AQ470" s="171"/>
      <c r="AR470" s="171"/>
      <c r="AS470" s="171"/>
      <c r="AT470" s="171"/>
      <c r="AU470" s="171"/>
      <c r="AV470" s="171"/>
      <c r="AW470" s="171"/>
      <c r="AX470" s="171"/>
      <c r="AY470" s="171"/>
      <c r="AZ470" s="171"/>
      <c r="BA470" s="171"/>
      <c r="BB470" s="171"/>
      <c r="BC470" s="171"/>
      <c r="BD470" s="171"/>
      <c r="BE470" s="171"/>
      <c r="BF470" s="171"/>
      <c r="BG470" s="171"/>
      <c r="BH470" s="171"/>
    </row>
    <row r="471" spans="1:60" outlineLevel="3" x14ac:dyDescent="0.2">
      <c r="A471" s="172"/>
      <c r="B471" s="173"/>
      <c r="C471" s="174" t="s">
        <v>522</v>
      </c>
      <c r="D471" s="175"/>
      <c r="E471" s="176">
        <v>13.18</v>
      </c>
      <c r="F471" s="196"/>
      <c r="G471" s="169"/>
      <c r="H471" s="169"/>
      <c r="I471" s="169"/>
      <c r="J471" s="169"/>
      <c r="K471" s="169"/>
      <c r="L471" s="169"/>
      <c r="M471" s="169"/>
      <c r="N471" s="170"/>
      <c r="O471" s="170"/>
      <c r="P471" s="170"/>
      <c r="Q471" s="170"/>
      <c r="R471" s="169"/>
      <c r="S471" s="169"/>
      <c r="T471" s="169"/>
      <c r="U471" s="169"/>
      <c r="V471" s="169"/>
      <c r="W471" s="169"/>
      <c r="X471" s="169"/>
      <c r="Y471" s="169"/>
      <c r="Z471" s="171"/>
      <c r="AA471" s="171"/>
      <c r="AB471" s="171"/>
      <c r="AC471" s="171"/>
      <c r="AD471" s="171"/>
      <c r="AE471" s="171"/>
      <c r="AF471" s="171"/>
      <c r="AG471" s="171" t="s">
        <v>148</v>
      </c>
      <c r="AH471" s="171">
        <v>0</v>
      </c>
      <c r="AI471" s="171"/>
      <c r="AJ471" s="171"/>
      <c r="AK471" s="171"/>
      <c r="AL471" s="171"/>
      <c r="AM471" s="171"/>
      <c r="AN471" s="171"/>
      <c r="AO471" s="171"/>
      <c r="AP471" s="171"/>
      <c r="AQ471" s="171"/>
      <c r="AR471" s="171"/>
      <c r="AS471" s="171"/>
      <c r="AT471" s="171"/>
      <c r="AU471" s="171"/>
      <c r="AV471" s="171"/>
      <c r="AW471" s="171"/>
      <c r="AX471" s="171"/>
      <c r="AY471" s="171"/>
      <c r="AZ471" s="171"/>
      <c r="BA471" s="171"/>
      <c r="BB471" s="171"/>
      <c r="BC471" s="171"/>
      <c r="BD471" s="171"/>
      <c r="BE471" s="171"/>
      <c r="BF471" s="171"/>
      <c r="BG471" s="171"/>
      <c r="BH471" s="171"/>
    </row>
    <row r="472" spans="1:60" outlineLevel="3" x14ac:dyDescent="0.2">
      <c r="A472" s="172"/>
      <c r="B472" s="173"/>
      <c r="C472" s="174" t="s">
        <v>151</v>
      </c>
      <c r="D472" s="175"/>
      <c r="E472" s="176"/>
      <c r="F472" s="196"/>
      <c r="G472" s="169"/>
      <c r="H472" s="169"/>
      <c r="I472" s="169"/>
      <c r="J472" s="169"/>
      <c r="K472" s="169"/>
      <c r="L472" s="169"/>
      <c r="M472" s="169"/>
      <c r="N472" s="170"/>
      <c r="O472" s="170"/>
      <c r="P472" s="170"/>
      <c r="Q472" s="170"/>
      <c r="R472" s="169"/>
      <c r="S472" s="169"/>
      <c r="T472" s="169"/>
      <c r="U472" s="169"/>
      <c r="V472" s="169"/>
      <c r="W472" s="169"/>
      <c r="X472" s="169"/>
      <c r="Y472" s="169"/>
      <c r="Z472" s="171"/>
      <c r="AA472" s="171"/>
      <c r="AB472" s="171"/>
      <c r="AC472" s="171"/>
      <c r="AD472" s="171"/>
      <c r="AE472" s="171"/>
      <c r="AF472" s="171"/>
      <c r="AG472" s="171" t="s">
        <v>148</v>
      </c>
      <c r="AH472" s="171">
        <v>0</v>
      </c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71"/>
      <c r="BB472" s="171"/>
      <c r="BC472" s="171"/>
      <c r="BD472" s="171"/>
      <c r="BE472" s="171"/>
      <c r="BF472" s="171"/>
      <c r="BG472" s="171"/>
      <c r="BH472" s="171"/>
    </row>
    <row r="473" spans="1:60" outlineLevel="3" x14ac:dyDescent="0.2">
      <c r="A473" s="172"/>
      <c r="B473" s="173"/>
      <c r="C473" s="174" t="s">
        <v>523</v>
      </c>
      <c r="D473" s="175"/>
      <c r="E473" s="176">
        <v>13.9</v>
      </c>
      <c r="F473" s="196"/>
      <c r="G473" s="169"/>
      <c r="H473" s="169"/>
      <c r="I473" s="169"/>
      <c r="J473" s="169"/>
      <c r="K473" s="169"/>
      <c r="L473" s="169"/>
      <c r="M473" s="169"/>
      <c r="N473" s="170"/>
      <c r="O473" s="170"/>
      <c r="P473" s="170"/>
      <c r="Q473" s="170"/>
      <c r="R473" s="169"/>
      <c r="S473" s="169"/>
      <c r="T473" s="169"/>
      <c r="U473" s="169"/>
      <c r="V473" s="169"/>
      <c r="W473" s="169"/>
      <c r="X473" s="169"/>
      <c r="Y473" s="169"/>
      <c r="Z473" s="171"/>
      <c r="AA473" s="171"/>
      <c r="AB473" s="171"/>
      <c r="AC473" s="171"/>
      <c r="AD473" s="171"/>
      <c r="AE473" s="171"/>
      <c r="AF473" s="171"/>
      <c r="AG473" s="171" t="s">
        <v>148</v>
      </c>
      <c r="AH473" s="171">
        <v>0</v>
      </c>
      <c r="AI473" s="171"/>
      <c r="AJ473" s="171"/>
      <c r="AK473" s="171"/>
      <c r="AL473" s="171"/>
      <c r="AM473" s="171"/>
      <c r="AN473" s="171"/>
      <c r="AO473" s="171"/>
      <c r="AP473" s="171"/>
      <c r="AQ473" s="171"/>
      <c r="AR473" s="171"/>
      <c r="AS473" s="171"/>
      <c r="AT473" s="171"/>
      <c r="AU473" s="171"/>
      <c r="AV473" s="171"/>
      <c r="AW473" s="171"/>
      <c r="AX473" s="171"/>
      <c r="AY473" s="171"/>
      <c r="AZ473" s="171"/>
      <c r="BA473" s="171"/>
      <c r="BB473" s="171"/>
      <c r="BC473" s="171"/>
      <c r="BD473" s="171"/>
      <c r="BE473" s="171"/>
      <c r="BF473" s="171"/>
      <c r="BG473" s="171"/>
      <c r="BH473" s="171"/>
    </row>
    <row r="474" spans="1:60" outlineLevel="3" x14ac:dyDescent="0.2">
      <c r="A474" s="172"/>
      <c r="B474" s="173"/>
      <c r="C474" s="174" t="s">
        <v>152</v>
      </c>
      <c r="D474" s="175"/>
      <c r="E474" s="176"/>
      <c r="F474" s="196"/>
      <c r="G474" s="169"/>
      <c r="H474" s="169"/>
      <c r="I474" s="169"/>
      <c r="J474" s="169"/>
      <c r="K474" s="169"/>
      <c r="L474" s="169"/>
      <c r="M474" s="169"/>
      <c r="N474" s="170"/>
      <c r="O474" s="170"/>
      <c r="P474" s="170"/>
      <c r="Q474" s="170"/>
      <c r="R474" s="169"/>
      <c r="S474" s="169"/>
      <c r="T474" s="169"/>
      <c r="U474" s="169"/>
      <c r="V474" s="169"/>
      <c r="W474" s="169"/>
      <c r="X474" s="169"/>
      <c r="Y474" s="169"/>
      <c r="Z474" s="171"/>
      <c r="AA474" s="171"/>
      <c r="AB474" s="171"/>
      <c r="AC474" s="171"/>
      <c r="AD474" s="171"/>
      <c r="AE474" s="171"/>
      <c r="AF474" s="171"/>
      <c r="AG474" s="171" t="s">
        <v>148</v>
      </c>
      <c r="AH474" s="171">
        <v>0</v>
      </c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  <c r="BE474" s="171"/>
      <c r="BF474" s="171"/>
      <c r="BG474" s="171"/>
      <c r="BH474" s="171"/>
    </row>
    <row r="475" spans="1:60" outlineLevel="3" x14ac:dyDescent="0.2">
      <c r="A475" s="172"/>
      <c r="B475" s="173"/>
      <c r="C475" s="174" t="s">
        <v>523</v>
      </c>
      <c r="D475" s="175"/>
      <c r="E475" s="176">
        <v>13.9</v>
      </c>
      <c r="F475" s="196"/>
      <c r="G475" s="169"/>
      <c r="H475" s="169"/>
      <c r="I475" s="169"/>
      <c r="J475" s="169"/>
      <c r="K475" s="169"/>
      <c r="L475" s="169"/>
      <c r="M475" s="169"/>
      <c r="N475" s="170"/>
      <c r="O475" s="170"/>
      <c r="P475" s="170"/>
      <c r="Q475" s="170"/>
      <c r="R475" s="169"/>
      <c r="S475" s="169"/>
      <c r="T475" s="169"/>
      <c r="U475" s="169"/>
      <c r="V475" s="169"/>
      <c r="W475" s="169"/>
      <c r="X475" s="169"/>
      <c r="Y475" s="169"/>
      <c r="Z475" s="171"/>
      <c r="AA475" s="171"/>
      <c r="AB475" s="171"/>
      <c r="AC475" s="171"/>
      <c r="AD475" s="171"/>
      <c r="AE475" s="171"/>
      <c r="AF475" s="171"/>
      <c r="AG475" s="171" t="s">
        <v>148</v>
      </c>
      <c r="AH475" s="171">
        <v>0</v>
      </c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  <c r="BE475" s="171"/>
      <c r="BF475" s="171"/>
      <c r="BG475" s="171"/>
      <c r="BH475" s="171"/>
    </row>
    <row r="476" spans="1:60" outlineLevel="1" x14ac:dyDescent="0.2">
      <c r="A476" s="162">
        <v>78</v>
      </c>
      <c r="B476" s="163" t="s">
        <v>524</v>
      </c>
      <c r="C476" s="164" t="s">
        <v>525</v>
      </c>
      <c r="D476" s="165" t="s">
        <v>230</v>
      </c>
      <c r="E476" s="166">
        <v>27</v>
      </c>
      <c r="F476" s="140"/>
      <c r="G476" s="167">
        <f>ROUND(E476*F476,2)</f>
        <v>0</v>
      </c>
      <c r="H476" s="168"/>
      <c r="I476" s="169">
        <f>ROUND(E476*H476,2)</f>
        <v>0</v>
      </c>
      <c r="J476" s="168"/>
      <c r="K476" s="169">
        <f>ROUND(E476*J476,2)</f>
        <v>0</v>
      </c>
      <c r="L476" s="169">
        <v>21</v>
      </c>
      <c r="M476" s="169">
        <f>G476*(1+L476/100)</f>
        <v>0</v>
      </c>
      <c r="N476" s="170">
        <v>0</v>
      </c>
      <c r="O476" s="170">
        <f>ROUND(E476*N476,2)</f>
        <v>0</v>
      </c>
      <c r="P476" s="170">
        <v>0</v>
      </c>
      <c r="Q476" s="170">
        <f>ROUND(E476*P476,2)</f>
        <v>0</v>
      </c>
      <c r="R476" s="169"/>
      <c r="S476" s="169" t="s">
        <v>143</v>
      </c>
      <c r="T476" s="169" t="s">
        <v>143</v>
      </c>
      <c r="U476" s="169">
        <v>1.45</v>
      </c>
      <c r="V476" s="169">
        <f>ROUND(E476*U476,2)</f>
        <v>39.15</v>
      </c>
      <c r="W476" s="169"/>
      <c r="X476" s="169" t="s">
        <v>144</v>
      </c>
      <c r="Y476" s="169" t="s">
        <v>145</v>
      </c>
      <c r="Z476" s="171"/>
      <c r="AA476" s="171"/>
      <c r="AB476" s="171"/>
      <c r="AC476" s="171"/>
      <c r="AD476" s="171"/>
      <c r="AE476" s="171"/>
      <c r="AF476" s="171"/>
      <c r="AG476" s="171" t="s">
        <v>146</v>
      </c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  <c r="BE476" s="171"/>
      <c r="BF476" s="171"/>
      <c r="BG476" s="171"/>
      <c r="BH476" s="171"/>
    </row>
    <row r="477" spans="1:60" outlineLevel="2" x14ac:dyDescent="0.2">
      <c r="A477" s="172"/>
      <c r="B477" s="173"/>
      <c r="C477" s="174" t="s">
        <v>526</v>
      </c>
      <c r="D477" s="175"/>
      <c r="E477" s="176"/>
      <c r="F477" s="196"/>
      <c r="G477" s="169"/>
      <c r="H477" s="169"/>
      <c r="I477" s="169"/>
      <c r="J477" s="169"/>
      <c r="K477" s="169"/>
      <c r="L477" s="169"/>
      <c r="M477" s="169"/>
      <c r="N477" s="170"/>
      <c r="O477" s="170"/>
      <c r="P477" s="170"/>
      <c r="Q477" s="170"/>
      <c r="R477" s="169"/>
      <c r="S477" s="169"/>
      <c r="T477" s="169"/>
      <c r="U477" s="169"/>
      <c r="V477" s="169"/>
      <c r="W477" s="169"/>
      <c r="X477" s="169"/>
      <c r="Y477" s="169"/>
      <c r="Z477" s="171"/>
      <c r="AA477" s="171"/>
      <c r="AB477" s="171"/>
      <c r="AC477" s="171"/>
      <c r="AD477" s="171"/>
      <c r="AE477" s="171"/>
      <c r="AF477" s="171"/>
      <c r="AG477" s="171" t="s">
        <v>148</v>
      </c>
      <c r="AH477" s="171">
        <v>0</v>
      </c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  <c r="BE477" s="171"/>
      <c r="BF477" s="171"/>
      <c r="BG477" s="171"/>
      <c r="BH477" s="171"/>
    </row>
    <row r="478" spans="1:60" outlineLevel="3" x14ac:dyDescent="0.2">
      <c r="A478" s="172"/>
      <c r="B478" s="173"/>
      <c r="C478" s="174" t="s">
        <v>527</v>
      </c>
      <c r="D478" s="175"/>
      <c r="E478" s="176"/>
      <c r="F478" s="196"/>
      <c r="G478" s="169"/>
      <c r="H478" s="169"/>
      <c r="I478" s="169"/>
      <c r="J478" s="169"/>
      <c r="K478" s="169"/>
      <c r="L478" s="169"/>
      <c r="M478" s="169"/>
      <c r="N478" s="170"/>
      <c r="O478" s="170"/>
      <c r="P478" s="170"/>
      <c r="Q478" s="170"/>
      <c r="R478" s="169"/>
      <c r="S478" s="169"/>
      <c r="T478" s="169"/>
      <c r="U478" s="169"/>
      <c r="V478" s="169"/>
      <c r="W478" s="169"/>
      <c r="X478" s="169"/>
      <c r="Y478" s="169"/>
      <c r="Z478" s="171"/>
      <c r="AA478" s="171"/>
      <c r="AB478" s="171"/>
      <c r="AC478" s="171"/>
      <c r="AD478" s="171"/>
      <c r="AE478" s="171"/>
      <c r="AF478" s="171"/>
      <c r="AG478" s="171" t="s">
        <v>148</v>
      </c>
      <c r="AH478" s="171">
        <v>0</v>
      </c>
      <c r="AI478" s="171"/>
      <c r="AJ478" s="171"/>
      <c r="AK478" s="171"/>
      <c r="AL478" s="171"/>
      <c r="AM478" s="171"/>
      <c r="AN478" s="171"/>
      <c r="AO478" s="171"/>
      <c r="AP478" s="171"/>
      <c r="AQ478" s="171"/>
      <c r="AR478" s="171"/>
      <c r="AS478" s="171"/>
      <c r="AT478" s="171"/>
      <c r="AU478" s="171"/>
      <c r="AV478" s="171"/>
      <c r="AW478" s="171"/>
      <c r="AX478" s="171"/>
      <c r="AY478" s="171"/>
      <c r="AZ478" s="171"/>
      <c r="BA478" s="171"/>
      <c r="BB478" s="171"/>
      <c r="BC478" s="171"/>
      <c r="BD478" s="171"/>
      <c r="BE478" s="171"/>
      <c r="BF478" s="171"/>
      <c r="BG478" s="171"/>
      <c r="BH478" s="171"/>
    </row>
    <row r="479" spans="1:60" outlineLevel="3" x14ac:dyDescent="0.2">
      <c r="A479" s="172"/>
      <c r="B479" s="173"/>
      <c r="C479" s="174" t="s">
        <v>232</v>
      </c>
      <c r="D479" s="175"/>
      <c r="E479" s="176">
        <v>6</v>
      </c>
      <c r="F479" s="196"/>
      <c r="G479" s="169"/>
      <c r="H479" s="169"/>
      <c r="I479" s="169"/>
      <c r="J479" s="169"/>
      <c r="K479" s="169"/>
      <c r="L479" s="169"/>
      <c r="M479" s="169"/>
      <c r="N479" s="170"/>
      <c r="O479" s="170"/>
      <c r="P479" s="170"/>
      <c r="Q479" s="170"/>
      <c r="R479" s="169"/>
      <c r="S479" s="169"/>
      <c r="T479" s="169"/>
      <c r="U479" s="169"/>
      <c r="V479" s="169"/>
      <c r="W479" s="169"/>
      <c r="X479" s="169"/>
      <c r="Y479" s="169"/>
      <c r="Z479" s="171"/>
      <c r="AA479" s="171"/>
      <c r="AB479" s="171"/>
      <c r="AC479" s="171"/>
      <c r="AD479" s="171"/>
      <c r="AE479" s="171"/>
      <c r="AF479" s="171"/>
      <c r="AG479" s="171" t="s">
        <v>148</v>
      </c>
      <c r="AH479" s="171">
        <v>0</v>
      </c>
      <c r="AI479" s="171"/>
      <c r="AJ479" s="171"/>
      <c r="AK479" s="171"/>
      <c r="AL479" s="171"/>
      <c r="AM479" s="171"/>
      <c r="AN479" s="171"/>
      <c r="AO479" s="171"/>
      <c r="AP479" s="171"/>
      <c r="AQ479" s="171"/>
      <c r="AR479" s="171"/>
      <c r="AS479" s="171"/>
      <c r="AT479" s="171"/>
      <c r="AU479" s="171"/>
      <c r="AV479" s="171"/>
      <c r="AW479" s="171"/>
      <c r="AX479" s="171"/>
      <c r="AY479" s="171"/>
      <c r="AZ479" s="171"/>
      <c r="BA479" s="171"/>
      <c r="BB479" s="171"/>
      <c r="BC479" s="171"/>
      <c r="BD479" s="171"/>
      <c r="BE479" s="171"/>
      <c r="BF479" s="171"/>
      <c r="BG479" s="171"/>
      <c r="BH479" s="171"/>
    </row>
    <row r="480" spans="1:60" outlineLevel="3" x14ac:dyDescent="0.2">
      <c r="A480" s="172"/>
      <c r="B480" s="173"/>
      <c r="C480" s="174" t="s">
        <v>528</v>
      </c>
      <c r="D480" s="175"/>
      <c r="E480" s="176"/>
      <c r="F480" s="196"/>
      <c r="G480" s="169"/>
      <c r="H480" s="169"/>
      <c r="I480" s="169"/>
      <c r="J480" s="169"/>
      <c r="K480" s="169"/>
      <c r="L480" s="169"/>
      <c r="M480" s="169"/>
      <c r="N480" s="170"/>
      <c r="O480" s="170"/>
      <c r="P480" s="170"/>
      <c r="Q480" s="170"/>
      <c r="R480" s="169"/>
      <c r="S480" s="169"/>
      <c r="T480" s="169"/>
      <c r="U480" s="169"/>
      <c r="V480" s="169"/>
      <c r="W480" s="169"/>
      <c r="X480" s="169"/>
      <c r="Y480" s="169"/>
      <c r="Z480" s="171"/>
      <c r="AA480" s="171"/>
      <c r="AB480" s="171"/>
      <c r="AC480" s="171"/>
      <c r="AD480" s="171"/>
      <c r="AE480" s="171"/>
      <c r="AF480" s="171"/>
      <c r="AG480" s="171" t="s">
        <v>148</v>
      </c>
      <c r="AH480" s="171">
        <v>0</v>
      </c>
      <c r="AI480" s="171"/>
      <c r="AJ480" s="171"/>
      <c r="AK480" s="171"/>
      <c r="AL480" s="171"/>
      <c r="AM480" s="171"/>
      <c r="AN480" s="171"/>
      <c r="AO480" s="171"/>
      <c r="AP480" s="171"/>
      <c r="AQ480" s="171"/>
      <c r="AR480" s="171"/>
      <c r="AS480" s="171"/>
      <c r="AT480" s="171"/>
      <c r="AU480" s="171"/>
      <c r="AV480" s="171"/>
      <c r="AW480" s="171"/>
      <c r="AX480" s="171"/>
      <c r="AY480" s="171"/>
      <c r="AZ480" s="171"/>
      <c r="BA480" s="171"/>
      <c r="BB480" s="171"/>
      <c r="BC480" s="171"/>
      <c r="BD480" s="171"/>
      <c r="BE480" s="171"/>
      <c r="BF480" s="171"/>
      <c r="BG480" s="171"/>
      <c r="BH480" s="171"/>
    </row>
    <row r="481" spans="1:60" outlineLevel="3" x14ac:dyDescent="0.2">
      <c r="A481" s="172"/>
      <c r="B481" s="173"/>
      <c r="C481" s="174" t="s">
        <v>63</v>
      </c>
      <c r="D481" s="175"/>
      <c r="E481" s="176">
        <v>3</v>
      </c>
      <c r="F481" s="196"/>
      <c r="G481" s="169"/>
      <c r="H481" s="169"/>
      <c r="I481" s="169"/>
      <c r="J481" s="169"/>
      <c r="K481" s="169"/>
      <c r="L481" s="169"/>
      <c r="M481" s="169"/>
      <c r="N481" s="170"/>
      <c r="O481" s="170"/>
      <c r="P481" s="170"/>
      <c r="Q481" s="170"/>
      <c r="R481" s="169"/>
      <c r="S481" s="169"/>
      <c r="T481" s="169"/>
      <c r="U481" s="169"/>
      <c r="V481" s="169"/>
      <c r="W481" s="169"/>
      <c r="X481" s="169"/>
      <c r="Y481" s="169"/>
      <c r="Z481" s="171"/>
      <c r="AA481" s="171"/>
      <c r="AB481" s="171"/>
      <c r="AC481" s="171"/>
      <c r="AD481" s="171"/>
      <c r="AE481" s="171"/>
      <c r="AF481" s="171"/>
      <c r="AG481" s="171" t="s">
        <v>148</v>
      </c>
      <c r="AH481" s="171">
        <v>0</v>
      </c>
      <c r="AI481" s="171"/>
      <c r="AJ481" s="171"/>
      <c r="AK481" s="171"/>
      <c r="AL481" s="171"/>
      <c r="AM481" s="171"/>
      <c r="AN481" s="171"/>
      <c r="AO481" s="171"/>
      <c r="AP481" s="171"/>
      <c r="AQ481" s="171"/>
      <c r="AR481" s="171"/>
      <c r="AS481" s="171"/>
      <c r="AT481" s="171"/>
      <c r="AU481" s="171"/>
      <c r="AV481" s="171"/>
      <c r="AW481" s="171"/>
      <c r="AX481" s="171"/>
      <c r="AY481" s="171"/>
      <c r="AZ481" s="171"/>
      <c r="BA481" s="171"/>
      <c r="BB481" s="171"/>
      <c r="BC481" s="171"/>
      <c r="BD481" s="171"/>
      <c r="BE481" s="171"/>
      <c r="BF481" s="171"/>
      <c r="BG481" s="171"/>
      <c r="BH481" s="171"/>
    </row>
    <row r="482" spans="1:60" outlineLevel="3" x14ac:dyDescent="0.2">
      <c r="A482" s="172"/>
      <c r="B482" s="173"/>
      <c r="C482" s="174" t="s">
        <v>529</v>
      </c>
      <c r="D482" s="175"/>
      <c r="E482" s="176"/>
      <c r="F482" s="196"/>
      <c r="G482" s="169"/>
      <c r="H482" s="169"/>
      <c r="I482" s="169"/>
      <c r="J482" s="169"/>
      <c r="K482" s="169"/>
      <c r="L482" s="169"/>
      <c r="M482" s="169"/>
      <c r="N482" s="170"/>
      <c r="O482" s="170"/>
      <c r="P482" s="170"/>
      <c r="Q482" s="170"/>
      <c r="R482" s="169"/>
      <c r="S482" s="169"/>
      <c r="T482" s="169"/>
      <c r="U482" s="169"/>
      <c r="V482" s="169"/>
      <c r="W482" s="169"/>
      <c r="X482" s="169"/>
      <c r="Y482" s="169"/>
      <c r="Z482" s="171"/>
      <c r="AA482" s="171"/>
      <c r="AB482" s="171"/>
      <c r="AC482" s="171"/>
      <c r="AD482" s="171"/>
      <c r="AE482" s="171"/>
      <c r="AF482" s="171"/>
      <c r="AG482" s="171" t="s">
        <v>148</v>
      </c>
      <c r="AH482" s="171">
        <v>0</v>
      </c>
      <c r="AI482" s="171"/>
      <c r="AJ482" s="171"/>
      <c r="AK482" s="171"/>
      <c r="AL482" s="171"/>
      <c r="AM482" s="171"/>
      <c r="AN482" s="171"/>
      <c r="AO482" s="171"/>
      <c r="AP482" s="171"/>
      <c r="AQ482" s="171"/>
      <c r="AR482" s="171"/>
      <c r="AS482" s="171"/>
      <c r="AT482" s="171"/>
      <c r="AU482" s="171"/>
      <c r="AV482" s="171"/>
      <c r="AW482" s="171"/>
      <c r="AX482" s="171"/>
      <c r="AY482" s="171"/>
      <c r="AZ482" s="171"/>
      <c r="BA482" s="171"/>
      <c r="BB482" s="171"/>
      <c r="BC482" s="171"/>
      <c r="BD482" s="171"/>
      <c r="BE482" s="171"/>
      <c r="BF482" s="171"/>
      <c r="BG482" s="171"/>
      <c r="BH482" s="171"/>
    </row>
    <row r="483" spans="1:60" outlineLevel="3" x14ac:dyDescent="0.2">
      <c r="A483" s="172"/>
      <c r="B483" s="173"/>
      <c r="C483" s="174" t="s">
        <v>530</v>
      </c>
      <c r="D483" s="175"/>
      <c r="E483" s="176"/>
      <c r="F483" s="196"/>
      <c r="G483" s="169"/>
      <c r="H483" s="169"/>
      <c r="I483" s="169"/>
      <c r="J483" s="169"/>
      <c r="K483" s="169"/>
      <c r="L483" s="169"/>
      <c r="M483" s="169"/>
      <c r="N483" s="170"/>
      <c r="O483" s="170"/>
      <c r="P483" s="170"/>
      <c r="Q483" s="170"/>
      <c r="R483" s="169"/>
      <c r="S483" s="169"/>
      <c r="T483" s="169"/>
      <c r="U483" s="169"/>
      <c r="V483" s="169"/>
      <c r="W483" s="169"/>
      <c r="X483" s="169"/>
      <c r="Y483" s="169"/>
      <c r="Z483" s="171"/>
      <c r="AA483" s="171"/>
      <c r="AB483" s="171"/>
      <c r="AC483" s="171"/>
      <c r="AD483" s="171"/>
      <c r="AE483" s="171"/>
      <c r="AF483" s="171"/>
      <c r="AG483" s="171" t="s">
        <v>148</v>
      </c>
      <c r="AH483" s="171">
        <v>0</v>
      </c>
      <c r="AI483" s="171"/>
      <c r="AJ483" s="171"/>
      <c r="AK483" s="171"/>
      <c r="AL483" s="171"/>
      <c r="AM483" s="171"/>
      <c r="AN483" s="171"/>
      <c r="AO483" s="171"/>
      <c r="AP483" s="171"/>
      <c r="AQ483" s="171"/>
      <c r="AR483" s="171"/>
      <c r="AS483" s="171"/>
      <c r="AT483" s="171"/>
      <c r="AU483" s="171"/>
      <c r="AV483" s="171"/>
      <c r="AW483" s="171"/>
      <c r="AX483" s="171"/>
      <c r="AY483" s="171"/>
      <c r="AZ483" s="171"/>
      <c r="BA483" s="171"/>
      <c r="BB483" s="171"/>
      <c r="BC483" s="171"/>
      <c r="BD483" s="171"/>
      <c r="BE483" s="171"/>
      <c r="BF483" s="171"/>
      <c r="BG483" s="171"/>
      <c r="BH483" s="171"/>
    </row>
    <row r="484" spans="1:60" outlineLevel="3" x14ac:dyDescent="0.2">
      <c r="A484" s="172"/>
      <c r="B484" s="173"/>
      <c r="C484" s="174" t="s">
        <v>232</v>
      </c>
      <c r="D484" s="175"/>
      <c r="E484" s="176">
        <v>6</v>
      </c>
      <c r="F484" s="196"/>
      <c r="G484" s="169"/>
      <c r="H484" s="169"/>
      <c r="I484" s="169"/>
      <c r="J484" s="169"/>
      <c r="K484" s="169"/>
      <c r="L484" s="169"/>
      <c r="M484" s="169"/>
      <c r="N484" s="170"/>
      <c r="O484" s="170"/>
      <c r="P484" s="170"/>
      <c r="Q484" s="170"/>
      <c r="R484" s="169"/>
      <c r="S484" s="169"/>
      <c r="T484" s="169"/>
      <c r="U484" s="169"/>
      <c r="V484" s="169"/>
      <c r="W484" s="169"/>
      <c r="X484" s="169"/>
      <c r="Y484" s="169"/>
      <c r="Z484" s="171"/>
      <c r="AA484" s="171"/>
      <c r="AB484" s="171"/>
      <c r="AC484" s="171"/>
      <c r="AD484" s="171"/>
      <c r="AE484" s="171"/>
      <c r="AF484" s="171"/>
      <c r="AG484" s="171" t="s">
        <v>148</v>
      </c>
      <c r="AH484" s="171">
        <v>0</v>
      </c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171"/>
      <c r="AT484" s="171"/>
      <c r="AU484" s="171"/>
      <c r="AV484" s="171"/>
      <c r="AW484" s="171"/>
      <c r="AX484" s="171"/>
      <c r="AY484" s="171"/>
      <c r="AZ484" s="171"/>
      <c r="BA484" s="171"/>
      <c r="BB484" s="171"/>
      <c r="BC484" s="171"/>
      <c r="BD484" s="171"/>
      <c r="BE484" s="171"/>
      <c r="BF484" s="171"/>
      <c r="BG484" s="171"/>
      <c r="BH484" s="171"/>
    </row>
    <row r="485" spans="1:60" outlineLevel="3" x14ac:dyDescent="0.2">
      <c r="A485" s="172"/>
      <c r="B485" s="173"/>
      <c r="C485" s="174" t="s">
        <v>531</v>
      </c>
      <c r="D485" s="175"/>
      <c r="E485" s="176"/>
      <c r="F485" s="196"/>
      <c r="G485" s="169"/>
      <c r="H485" s="169"/>
      <c r="I485" s="169"/>
      <c r="J485" s="169"/>
      <c r="K485" s="169"/>
      <c r="L485" s="169"/>
      <c r="M485" s="169"/>
      <c r="N485" s="170"/>
      <c r="O485" s="170"/>
      <c r="P485" s="170"/>
      <c r="Q485" s="170"/>
      <c r="R485" s="169"/>
      <c r="S485" s="169"/>
      <c r="T485" s="169"/>
      <c r="U485" s="169"/>
      <c r="V485" s="169"/>
      <c r="W485" s="169"/>
      <c r="X485" s="169"/>
      <c r="Y485" s="169"/>
      <c r="Z485" s="171"/>
      <c r="AA485" s="171"/>
      <c r="AB485" s="171"/>
      <c r="AC485" s="171"/>
      <c r="AD485" s="171"/>
      <c r="AE485" s="171"/>
      <c r="AF485" s="171"/>
      <c r="AG485" s="171" t="s">
        <v>148</v>
      </c>
      <c r="AH485" s="171">
        <v>0</v>
      </c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171"/>
      <c r="AV485" s="171"/>
      <c r="AW485" s="171"/>
      <c r="AX485" s="171"/>
      <c r="AY485" s="171"/>
      <c r="AZ485" s="171"/>
      <c r="BA485" s="171"/>
      <c r="BB485" s="171"/>
      <c r="BC485" s="171"/>
      <c r="BD485" s="171"/>
      <c r="BE485" s="171"/>
      <c r="BF485" s="171"/>
      <c r="BG485" s="171"/>
      <c r="BH485" s="171"/>
    </row>
    <row r="486" spans="1:60" outlineLevel="3" x14ac:dyDescent="0.2">
      <c r="A486" s="172"/>
      <c r="B486" s="173"/>
      <c r="C486" s="174" t="s">
        <v>532</v>
      </c>
      <c r="D486" s="175"/>
      <c r="E486" s="176"/>
      <c r="F486" s="196"/>
      <c r="G486" s="169"/>
      <c r="H486" s="169"/>
      <c r="I486" s="169"/>
      <c r="J486" s="169"/>
      <c r="K486" s="169"/>
      <c r="L486" s="169"/>
      <c r="M486" s="169"/>
      <c r="N486" s="170"/>
      <c r="O486" s="170"/>
      <c r="P486" s="170"/>
      <c r="Q486" s="170"/>
      <c r="R486" s="169"/>
      <c r="S486" s="169"/>
      <c r="T486" s="169"/>
      <c r="U486" s="169"/>
      <c r="V486" s="169"/>
      <c r="W486" s="169"/>
      <c r="X486" s="169"/>
      <c r="Y486" s="169"/>
      <c r="Z486" s="171"/>
      <c r="AA486" s="171"/>
      <c r="AB486" s="171"/>
      <c r="AC486" s="171"/>
      <c r="AD486" s="171"/>
      <c r="AE486" s="171"/>
      <c r="AF486" s="171"/>
      <c r="AG486" s="171" t="s">
        <v>148</v>
      </c>
      <c r="AH486" s="171">
        <v>0</v>
      </c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1"/>
      <c r="AT486" s="171"/>
      <c r="AU486" s="171"/>
      <c r="AV486" s="171"/>
      <c r="AW486" s="171"/>
      <c r="AX486" s="171"/>
      <c r="AY486" s="171"/>
      <c r="AZ486" s="171"/>
      <c r="BA486" s="171"/>
      <c r="BB486" s="171"/>
      <c r="BC486" s="171"/>
      <c r="BD486" s="171"/>
      <c r="BE486" s="171"/>
      <c r="BF486" s="171"/>
      <c r="BG486" s="171"/>
      <c r="BH486" s="171"/>
    </row>
    <row r="487" spans="1:60" outlineLevel="3" x14ac:dyDescent="0.2">
      <c r="A487" s="172"/>
      <c r="B487" s="173"/>
      <c r="C487" s="174" t="s">
        <v>232</v>
      </c>
      <c r="D487" s="175"/>
      <c r="E487" s="176">
        <v>6</v>
      </c>
      <c r="F487" s="196"/>
      <c r="G487" s="169"/>
      <c r="H487" s="169"/>
      <c r="I487" s="169"/>
      <c r="J487" s="169"/>
      <c r="K487" s="169"/>
      <c r="L487" s="169"/>
      <c r="M487" s="169"/>
      <c r="N487" s="170"/>
      <c r="O487" s="170"/>
      <c r="P487" s="170"/>
      <c r="Q487" s="170"/>
      <c r="R487" s="169"/>
      <c r="S487" s="169"/>
      <c r="T487" s="169"/>
      <c r="U487" s="169"/>
      <c r="V487" s="169"/>
      <c r="W487" s="169"/>
      <c r="X487" s="169"/>
      <c r="Y487" s="169"/>
      <c r="Z487" s="171"/>
      <c r="AA487" s="171"/>
      <c r="AB487" s="171"/>
      <c r="AC487" s="171"/>
      <c r="AD487" s="171"/>
      <c r="AE487" s="171"/>
      <c r="AF487" s="171"/>
      <c r="AG487" s="171" t="s">
        <v>148</v>
      </c>
      <c r="AH487" s="171">
        <v>0</v>
      </c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1"/>
      <c r="AT487" s="171"/>
      <c r="AU487" s="171"/>
      <c r="AV487" s="171"/>
      <c r="AW487" s="171"/>
      <c r="AX487" s="171"/>
      <c r="AY487" s="171"/>
      <c r="AZ487" s="171"/>
      <c r="BA487" s="171"/>
      <c r="BB487" s="171"/>
      <c r="BC487" s="171"/>
      <c r="BD487" s="171"/>
      <c r="BE487" s="171"/>
      <c r="BF487" s="171"/>
      <c r="BG487" s="171"/>
      <c r="BH487" s="171"/>
    </row>
    <row r="488" spans="1:60" outlineLevel="3" x14ac:dyDescent="0.2">
      <c r="A488" s="172"/>
      <c r="B488" s="173"/>
      <c r="C488" s="174" t="s">
        <v>533</v>
      </c>
      <c r="D488" s="175"/>
      <c r="E488" s="176"/>
      <c r="F488" s="196"/>
      <c r="G488" s="169"/>
      <c r="H488" s="169"/>
      <c r="I488" s="169"/>
      <c r="J488" s="169"/>
      <c r="K488" s="169"/>
      <c r="L488" s="169"/>
      <c r="M488" s="169"/>
      <c r="N488" s="170"/>
      <c r="O488" s="170"/>
      <c r="P488" s="170"/>
      <c r="Q488" s="170"/>
      <c r="R488" s="169"/>
      <c r="S488" s="169"/>
      <c r="T488" s="169"/>
      <c r="U488" s="169"/>
      <c r="V488" s="169"/>
      <c r="W488" s="169"/>
      <c r="X488" s="169"/>
      <c r="Y488" s="169"/>
      <c r="Z488" s="171"/>
      <c r="AA488" s="171"/>
      <c r="AB488" s="171"/>
      <c r="AC488" s="171"/>
      <c r="AD488" s="171"/>
      <c r="AE488" s="171"/>
      <c r="AF488" s="171"/>
      <c r="AG488" s="171" t="s">
        <v>148</v>
      </c>
      <c r="AH488" s="171">
        <v>0</v>
      </c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1"/>
      <c r="AT488" s="171"/>
      <c r="AU488" s="171"/>
      <c r="AV488" s="171"/>
      <c r="AW488" s="171"/>
      <c r="AX488" s="171"/>
      <c r="AY488" s="171"/>
      <c r="AZ488" s="171"/>
      <c r="BA488" s="171"/>
      <c r="BB488" s="171"/>
      <c r="BC488" s="171"/>
      <c r="BD488" s="171"/>
      <c r="BE488" s="171"/>
      <c r="BF488" s="171"/>
      <c r="BG488" s="171"/>
      <c r="BH488" s="171"/>
    </row>
    <row r="489" spans="1:60" outlineLevel="3" x14ac:dyDescent="0.2">
      <c r="A489" s="172"/>
      <c r="B489" s="173"/>
      <c r="C489" s="174" t="s">
        <v>232</v>
      </c>
      <c r="D489" s="175"/>
      <c r="E489" s="176">
        <v>6</v>
      </c>
      <c r="F489" s="196"/>
      <c r="G489" s="169"/>
      <c r="H489" s="169"/>
      <c r="I489" s="169"/>
      <c r="J489" s="169"/>
      <c r="K489" s="169"/>
      <c r="L489" s="169"/>
      <c r="M489" s="169"/>
      <c r="N489" s="170"/>
      <c r="O489" s="170"/>
      <c r="P489" s="170"/>
      <c r="Q489" s="170"/>
      <c r="R489" s="169"/>
      <c r="S489" s="169"/>
      <c r="T489" s="169"/>
      <c r="U489" s="169"/>
      <c r="V489" s="169"/>
      <c r="W489" s="169"/>
      <c r="X489" s="169"/>
      <c r="Y489" s="169"/>
      <c r="Z489" s="171"/>
      <c r="AA489" s="171"/>
      <c r="AB489" s="171"/>
      <c r="AC489" s="171"/>
      <c r="AD489" s="171"/>
      <c r="AE489" s="171"/>
      <c r="AF489" s="171"/>
      <c r="AG489" s="171" t="s">
        <v>148</v>
      </c>
      <c r="AH489" s="171">
        <v>0</v>
      </c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1"/>
      <c r="AT489" s="171"/>
      <c r="AU489" s="171"/>
      <c r="AV489" s="171"/>
      <c r="AW489" s="171"/>
      <c r="AX489" s="171"/>
      <c r="AY489" s="171"/>
      <c r="AZ489" s="171"/>
      <c r="BA489" s="171"/>
      <c r="BB489" s="171"/>
      <c r="BC489" s="171"/>
      <c r="BD489" s="171"/>
      <c r="BE489" s="171"/>
      <c r="BF489" s="171"/>
      <c r="BG489" s="171"/>
      <c r="BH489" s="171"/>
    </row>
    <row r="490" spans="1:60" outlineLevel="1" x14ac:dyDescent="0.2">
      <c r="A490" s="177">
        <v>79</v>
      </c>
      <c r="B490" s="178" t="s">
        <v>534</v>
      </c>
      <c r="C490" s="179" t="s">
        <v>535</v>
      </c>
      <c r="D490" s="180" t="s">
        <v>230</v>
      </c>
      <c r="E490" s="181">
        <v>6</v>
      </c>
      <c r="F490" s="141"/>
      <c r="G490" s="182">
        <f t="shared" ref="G490:G496" si="7">ROUND(E490*F490,2)</f>
        <v>0</v>
      </c>
      <c r="H490" s="168"/>
      <c r="I490" s="169">
        <f t="shared" ref="I490:I496" si="8">ROUND(E490*H490,2)</f>
        <v>0</v>
      </c>
      <c r="J490" s="168"/>
      <c r="K490" s="169">
        <f t="shared" ref="K490:K496" si="9">ROUND(E490*J490,2)</f>
        <v>0</v>
      </c>
      <c r="L490" s="169">
        <v>21</v>
      </c>
      <c r="M490" s="169">
        <f t="shared" ref="M490:M496" si="10">G490*(1+L490/100)</f>
        <v>0</v>
      </c>
      <c r="N490" s="170">
        <v>0</v>
      </c>
      <c r="O490" s="170">
        <f t="shared" ref="O490:O496" si="11">ROUND(E490*N490,2)</f>
        <v>0</v>
      </c>
      <c r="P490" s="170">
        <v>0</v>
      </c>
      <c r="Q490" s="170">
        <f t="shared" ref="Q490:Q496" si="12">ROUND(E490*P490,2)</f>
        <v>0</v>
      </c>
      <c r="R490" s="169"/>
      <c r="S490" s="169" t="s">
        <v>143</v>
      </c>
      <c r="T490" s="169" t="s">
        <v>143</v>
      </c>
      <c r="U490" s="169">
        <v>0.55500000000000005</v>
      </c>
      <c r="V490" s="169">
        <f t="shared" ref="V490:V496" si="13">ROUND(E490*U490,2)</f>
        <v>3.33</v>
      </c>
      <c r="W490" s="169"/>
      <c r="X490" s="169" t="s">
        <v>144</v>
      </c>
      <c r="Y490" s="169" t="s">
        <v>145</v>
      </c>
      <c r="Z490" s="171"/>
      <c r="AA490" s="171"/>
      <c r="AB490" s="171"/>
      <c r="AC490" s="171"/>
      <c r="AD490" s="171"/>
      <c r="AE490" s="171"/>
      <c r="AF490" s="171"/>
      <c r="AG490" s="171" t="s">
        <v>146</v>
      </c>
      <c r="AH490" s="171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1"/>
      <c r="AT490" s="171"/>
      <c r="AU490" s="171"/>
      <c r="AV490" s="171"/>
      <c r="AW490" s="171"/>
      <c r="AX490" s="171"/>
      <c r="AY490" s="171"/>
      <c r="AZ490" s="171"/>
      <c r="BA490" s="171"/>
      <c r="BB490" s="171"/>
      <c r="BC490" s="171"/>
      <c r="BD490" s="171"/>
      <c r="BE490" s="171"/>
      <c r="BF490" s="171"/>
      <c r="BG490" s="171"/>
      <c r="BH490" s="171"/>
    </row>
    <row r="491" spans="1:60" outlineLevel="1" x14ac:dyDescent="0.2">
      <c r="A491" s="177">
        <v>80</v>
      </c>
      <c r="B491" s="178" t="s">
        <v>536</v>
      </c>
      <c r="C491" s="179" t="s">
        <v>537</v>
      </c>
      <c r="D491" s="180" t="s">
        <v>230</v>
      </c>
      <c r="E491" s="181">
        <v>27</v>
      </c>
      <c r="F491" s="141"/>
      <c r="G491" s="182">
        <f t="shared" si="7"/>
        <v>0</v>
      </c>
      <c r="H491" s="168"/>
      <c r="I491" s="169">
        <f t="shared" si="8"/>
        <v>0</v>
      </c>
      <c r="J491" s="168"/>
      <c r="K491" s="169">
        <f t="shared" si="9"/>
        <v>0</v>
      </c>
      <c r="L491" s="169">
        <v>21</v>
      </c>
      <c r="M491" s="169">
        <f t="shared" si="10"/>
        <v>0</v>
      </c>
      <c r="N491" s="170">
        <v>0</v>
      </c>
      <c r="O491" s="170">
        <f t="shared" si="11"/>
        <v>0</v>
      </c>
      <c r="P491" s="170">
        <v>0</v>
      </c>
      <c r="Q491" s="170">
        <f t="shared" si="12"/>
        <v>0</v>
      </c>
      <c r="R491" s="169"/>
      <c r="S491" s="169" t="s">
        <v>143</v>
      </c>
      <c r="T491" s="169" t="s">
        <v>143</v>
      </c>
      <c r="U491" s="169">
        <v>0.157</v>
      </c>
      <c r="V491" s="169">
        <f t="shared" si="13"/>
        <v>4.24</v>
      </c>
      <c r="W491" s="169"/>
      <c r="X491" s="169" t="s">
        <v>144</v>
      </c>
      <c r="Y491" s="169" t="s">
        <v>145</v>
      </c>
      <c r="Z491" s="171"/>
      <c r="AA491" s="171"/>
      <c r="AB491" s="171"/>
      <c r="AC491" s="171"/>
      <c r="AD491" s="171"/>
      <c r="AE491" s="171"/>
      <c r="AF491" s="171"/>
      <c r="AG491" s="171" t="s">
        <v>146</v>
      </c>
      <c r="AH491" s="171"/>
      <c r="AI491" s="171"/>
      <c r="AJ491" s="171"/>
      <c r="AK491" s="171"/>
      <c r="AL491" s="171"/>
      <c r="AM491" s="171"/>
      <c r="AN491" s="171"/>
      <c r="AO491" s="171"/>
      <c r="AP491" s="171"/>
      <c r="AQ491" s="171"/>
      <c r="AR491" s="171"/>
      <c r="AS491" s="171"/>
      <c r="AT491" s="171"/>
      <c r="AU491" s="171"/>
      <c r="AV491" s="171"/>
      <c r="AW491" s="171"/>
      <c r="AX491" s="171"/>
      <c r="AY491" s="171"/>
      <c r="AZ491" s="171"/>
      <c r="BA491" s="171"/>
      <c r="BB491" s="171"/>
      <c r="BC491" s="171"/>
      <c r="BD491" s="171"/>
      <c r="BE491" s="171"/>
      <c r="BF491" s="171"/>
      <c r="BG491" s="171"/>
      <c r="BH491" s="171"/>
    </row>
    <row r="492" spans="1:60" outlineLevel="1" x14ac:dyDescent="0.2">
      <c r="A492" s="177">
        <v>81</v>
      </c>
      <c r="B492" s="178" t="s">
        <v>538</v>
      </c>
      <c r="C492" s="179" t="s">
        <v>539</v>
      </c>
      <c r="D492" s="180" t="s">
        <v>230</v>
      </c>
      <c r="E492" s="181">
        <v>27</v>
      </c>
      <c r="F492" s="141"/>
      <c r="G492" s="182">
        <f t="shared" si="7"/>
        <v>0</v>
      </c>
      <c r="H492" s="168"/>
      <c r="I492" s="169">
        <f t="shared" si="8"/>
        <v>0</v>
      </c>
      <c r="J492" s="168"/>
      <c r="K492" s="169">
        <f t="shared" si="9"/>
        <v>0</v>
      </c>
      <c r="L492" s="169">
        <v>21</v>
      </c>
      <c r="M492" s="169">
        <f t="shared" si="10"/>
        <v>0</v>
      </c>
      <c r="N492" s="170">
        <v>0</v>
      </c>
      <c r="O492" s="170">
        <f t="shared" si="11"/>
        <v>0</v>
      </c>
      <c r="P492" s="170">
        <v>0</v>
      </c>
      <c r="Q492" s="170">
        <f t="shared" si="12"/>
        <v>0</v>
      </c>
      <c r="R492" s="169"/>
      <c r="S492" s="169" t="s">
        <v>143</v>
      </c>
      <c r="T492" s="169" t="s">
        <v>143</v>
      </c>
      <c r="U492" s="169">
        <v>0.77500000000000002</v>
      </c>
      <c r="V492" s="169">
        <f t="shared" si="13"/>
        <v>20.93</v>
      </c>
      <c r="W492" s="169"/>
      <c r="X492" s="169" t="s">
        <v>144</v>
      </c>
      <c r="Y492" s="169" t="s">
        <v>145</v>
      </c>
      <c r="Z492" s="171"/>
      <c r="AA492" s="171"/>
      <c r="AB492" s="171"/>
      <c r="AC492" s="171"/>
      <c r="AD492" s="171"/>
      <c r="AE492" s="171"/>
      <c r="AF492" s="171"/>
      <c r="AG492" s="171" t="s">
        <v>146</v>
      </c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1"/>
      <c r="AT492" s="171"/>
      <c r="AU492" s="171"/>
      <c r="AV492" s="171"/>
      <c r="AW492" s="171"/>
      <c r="AX492" s="171"/>
      <c r="AY492" s="171"/>
      <c r="AZ492" s="171"/>
      <c r="BA492" s="171"/>
      <c r="BB492" s="171"/>
      <c r="BC492" s="171"/>
      <c r="BD492" s="171"/>
      <c r="BE492" s="171"/>
      <c r="BF492" s="171"/>
      <c r="BG492" s="171"/>
      <c r="BH492" s="171"/>
    </row>
    <row r="493" spans="1:60" outlineLevel="1" x14ac:dyDescent="0.2">
      <c r="A493" s="177">
        <v>82</v>
      </c>
      <c r="B493" s="178" t="s">
        <v>540</v>
      </c>
      <c r="C493" s="179" t="s">
        <v>541</v>
      </c>
      <c r="D493" s="180" t="s">
        <v>230</v>
      </c>
      <c r="E493" s="181">
        <v>27</v>
      </c>
      <c r="F493" s="141"/>
      <c r="G493" s="182">
        <f t="shared" si="7"/>
        <v>0</v>
      </c>
      <c r="H493" s="168"/>
      <c r="I493" s="169">
        <f t="shared" si="8"/>
        <v>0</v>
      </c>
      <c r="J493" s="168"/>
      <c r="K493" s="169">
        <f t="shared" si="9"/>
        <v>0</v>
      </c>
      <c r="L493" s="169">
        <v>21</v>
      </c>
      <c r="M493" s="169">
        <f t="shared" si="10"/>
        <v>0</v>
      </c>
      <c r="N493" s="170">
        <v>8.0000000000000004E-4</v>
      </c>
      <c r="O493" s="170">
        <f t="shared" si="11"/>
        <v>0.02</v>
      </c>
      <c r="P493" s="170">
        <v>0</v>
      </c>
      <c r="Q493" s="170">
        <f t="shared" si="12"/>
        <v>0</v>
      </c>
      <c r="R493" s="169" t="s">
        <v>224</v>
      </c>
      <c r="S493" s="169" t="s">
        <v>143</v>
      </c>
      <c r="T493" s="169" t="s">
        <v>143</v>
      </c>
      <c r="U493" s="169">
        <v>0</v>
      </c>
      <c r="V493" s="169">
        <f t="shared" si="13"/>
        <v>0</v>
      </c>
      <c r="W493" s="169"/>
      <c r="X493" s="169" t="s">
        <v>225</v>
      </c>
      <c r="Y493" s="169" t="s">
        <v>145</v>
      </c>
      <c r="Z493" s="171"/>
      <c r="AA493" s="171"/>
      <c r="AB493" s="171"/>
      <c r="AC493" s="171"/>
      <c r="AD493" s="171"/>
      <c r="AE493" s="171"/>
      <c r="AF493" s="171"/>
      <c r="AG493" s="171" t="s">
        <v>226</v>
      </c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1"/>
      <c r="AT493" s="171"/>
      <c r="AU493" s="171"/>
      <c r="AV493" s="171"/>
      <c r="AW493" s="171"/>
      <c r="AX493" s="171"/>
      <c r="AY493" s="171"/>
      <c r="AZ493" s="171"/>
      <c r="BA493" s="171"/>
      <c r="BB493" s="171"/>
      <c r="BC493" s="171"/>
      <c r="BD493" s="171"/>
      <c r="BE493" s="171"/>
      <c r="BF493" s="171"/>
      <c r="BG493" s="171"/>
      <c r="BH493" s="171"/>
    </row>
    <row r="494" spans="1:60" outlineLevel="1" x14ac:dyDescent="0.2">
      <c r="A494" s="177">
        <v>83</v>
      </c>
      <c r="B494" s="178" t="s">
        <v>542</v>
      </c>
      <c r="C494" s="179" t="s">
        <v>543</v>
      </c>
      <c r="D494" s="180" t="s">
        <v>230</v>
      </c>
      <c r="E494" s="181">
        <v>6</v>
      </c>
      <c r="F494" s="141"/>
      <c r="G494" s="182">
        <f t="shared" si="7"/>
        <v>0</v>
      </c>
      <c r="H494" s="168"/>
      <c r="I494" s="169">
        <f t="shared" si="8"/>
        <v>0</v>
      </c>
      <c r="J494" s="168"/>
      <c r="K494" s="169">
        <f t="shared" si="9"/>
        <v>0</v>
      </c>
      <c r="L494" s="169">
        <v>21</v>
      </c>
      <c r="M494" s="169">
        <f t="shared" si="10"/>
        <v>0</v>
      </c>
      <c r="N494" s="170">
        <v>3.0699999999999998E-3</v>
      </c>
      <c r="O494" s="170">
        <f t="shared" si="11"/>
        <v>0.02</v>
      </c>
      <c r="P494" s="170">
        <v>0</v>
      </c>
      <c r="Q494" s="170">
        <f t="shared" si="12"/>
        <v>0</v>
      </c>
      <c r="R494" s="169" t="s">
        <v>224</v>
      </c>
      <c r="S494" s="169" t="s">
        <v>143</v>
      </c>
      <c r="T494" s="169" t="s">
        <v>143</v>
      </c>
      <c r="U494" s="169">
        <v>0</v>
      </c>
      <c r="V494" s="169">
        <f t="shared" si="13"/>
        <v>0</v>
      </c>
      <c r="W494" s="169"/>
      <c r="X494" s="169" t="s">
        <v>225</v>
      </c>
      <c r="Y494" s="169" t="s">
        <v>145</v>
      </c>
      <c r="Z494" s="171"/>
      <c r="AA494" s="171"/>
      <c r="AB494" s="171"/>
      <c r="AC494" s="171"/>
      <c r="AD494" s="171"/>
      <c r="AE494" s="171"/>
      <c r="AF494" s="171"/>
      <c r="AG494" s="171" t="s">
        <v>226</v>
      </c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1"/>
      <c r="AT494" s="171"/>
      <c r="AU494" s="171"/>
      <c r="AV494" s="171"/>
      <c r="AW494" s="171"/>
      <c r="AX494" s="171"/>
      <c r="AY494" s="171"/>
      <c r="AZ494" s="171"/>
      <c r="BA494" s="171"/>
      <c r="BB494" s="171"/>
      <c r="BC494" s="171"/>
      <c r="BD494" s="171"/>
      <c r="BE494" s="171"/>
      <c r="BF494" s="171"/>
      <c r="BG494" s="171"/>
      <c r="BH494" s="171"/>
    </row>
    <row r="495" spans="1:60" outlineLevel="1" x14ac:dyDescent="0.2">
      <c r="A495" s="177">
        <v>84</v>
      </c>
      <c r="B495" s="178" t="s">
        <v>544</v>
      </c>
      <c r="C495" s="179" t="s">
        <v>545</v>
      </c>
      <c r="D495" s="180" t="s">
        <v>230</v>
      </c>
      <c r="E495" s="181">
        <v>27</v>
      </c>
      <c r="F495" s="141"/>
      <c r="G495" s="182">
        <f t="shared" si="7"/>
        <v>0</v>
      </c>
      <c r="H495" s="168"/>
      <c r="I495" s="169">
        <f t="shared" si="8"/>
        <v>0</v>
      </c>
      <c r="J495" s="168"/>
      <c r="K495" s="169">
        <f t="shared" si="9"/>
        <v>0</v>
      </c>
      <c r="L495" s="169">
        <v>21</v>
      </c>
      <c r="M495" s="169">
        <f t="shared" si="10"/>
        <v>0</v>
      </c>
      <c r="N495" s="170">
        <v>3.6000000000000002E-4</v>
      </c>
      <c r="O495" s="170">
        <f t="shared" si="11"/>
        <v>0.01</v>
      </c>
      <c r="P495" s="170">
        <v>0</v>
      </c>
      <c r="Q495" s="170">
        <f t="shared" si="12"/>
        <v>0</v>
      </c>
      <c r="R495" s="169" t="s">
        <v>224</v>
      </c>
      <c r="S495" s="169" t="s">
        <v>143</v>
      </c>
      <c r="T495" s="169" t="s">
        <v>143</v>
      </c>
      <c r="U495" s="169">
        <v>0</v>
      </c>
      <c r="V495" s="169">
        <f t="shared" si="13"/>
        <v>0</v>
      </c>
      <c r="W495" s="169"/>
      <c r="X495" s="169" t="s">
        <v>225</v>
      </c>
      <c r="Y495" s="169" t="s">
        <v>145</v>
      </c>
      <c r="Z495" s="171"/>
      <c r="AA495" s="171"/>
      <c r="AB495" s="171"/>
      <c r="AC495" s="171"/>
      <c r="AD495" s="171"/>
      <c r="AE495" s="171"/>
      <c r="AF495" s="171"/>
      <c r="AG495" s="171" t="s">
        <v>226</v>
      </c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1"/>
      <c r="AT495" s="171"/>
      <c r="AU495" s="171"/>
      <c r="AV495" s="171"/>
      <c r="AW495" s="171"/>
      <c r="AX495" s="171"/>
      <c r="AY495" s="171"/>
      <c r="AZ495" s="171"/>
      <c r="BA495" s="171"/>
      <c r="BB495" s="171"/>
      <c r="BC495" s="171"/>
      <c r="BD495" s="171"/>
      <c r="BE495" s="171"/>
      <c r="BF495" s="171"/>
      <c r="BG495" s="171"/>
      <c r="BH495" s="171"/>
    </row>
    <row r="496" spans="1:60" outlineLevel="1" x14ac:dyDescent="0.2">
      <c r="A496" s="162">
        <v>85</v>
      </c>
      <c r="B496" s="163" t="s">
        <v>546</v>
      </c>
      <c r="C496" s="164" t="s">
        <v>547</v>
      </c>
      <c r="D496" s="165" t="s">
        <v>230</v>
      </c>
      <c r="E496" s="166">
        <v>9</v>
      </c>
      <c r="F496" s="140"/>
      <c r="G496" s="167">
        <f t="shared" si="7"/>
        <v>0</v>
      </c>
      <c r="H496" s="168"/>
      <c r="I496" s="169">
        <f t="shared" si="8"/>
        <v>0</v>
      </c>
      <c r="J496" s="168"/>
      <c r="K496" s="169">
        <f t="shared" si="9"/>
        <v>0</v>
      </c>
      <c r="L496" s="169">
        <v>21</v>
      </c>
      <c r="M496" s="169">
        <f t="shared" si="10"/>
        <v>0</v>
      </c>
      <c r="N496" s="170">
        <v>1.4999999999999999E-2</v>
      </c>
      <c r="O496" s="170">
        <f t="shared" si="11"/>
        <v>0.14000000000000001</v>
      </c>
      <c r="P496" s="170">
        <v>0</v>
      </c>
      <c r="Q496" s="170">
        <f t="shared" si="12"/>
        <v>0</v>
      </c>
      <c r="R496" s="169" t="s">
        <v>224</v>
      </c>
      <c r="S496" s="169" t="s">
        <v>143</v>
      </c>
      <c r="T496" s="169" t="s">
        <v>143</v>
      </c>
      <c r="U496" s="169">
        <v>0</v>
      </c>
      <c r="V496" s="169">
        <f t="shared" si="13"/>
        <v>0</v>
      </c>
      <c r="W496" s="169"/>
      <c r="X496" s="169" t="s">
        <v>225</v>
      </c>
      <c r="Y496" s="169" t="s">
        <v>145</v>
      </c>
      <c r="Z496" s="171"/>
      <c r="AA496" s="171"/>
      <c r="AB496" s="171"/>
      <c r="AC496" s="171"/>
      <c r="AD496" s="171"/>
      <c r="AE496" s="171"/>
      <c r="AF496" s="171"/>
      <c r="AG496" s="171" t="s">
        <v>226</v>
      </c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  <c r="AY496" s="171"/>
      <c r="AZ496" s="171"/>
      <c r="BA496" s="171"/>
      <c r="BB496" s="171"/>
      <c r="BC496" s="171"/>
      <c r="BD496" s="171"/>
      <c r="BE496" s="171"/>
      <c r="BF496" s="171"/>
      <c r="BG496" s="171"/>
      <c r="BH496" s="171"/>
    </row>
    <row r="497" spans="1:60" outlineLevel="2" x14ac:dyDescent="0.2">
      <c r="A497" s="172"/>
      <c r="B497" s="173"/>
      <c r="C497" s="174" t="s">
        <v>527</v>
      </c>
      <c r="D497" s="175"/>
      <c r="E497" s="176"/>
      <c r="F497" s="196"/>
      <c r="G497" s="169"/>
      <c r="H497" s="169"/>
      <c r="I497" s="169"/>
      <c r="J497" s="169"/>
      <c r="K497" s="169"/>
      <c r="L497" s="169"/>
      <c r="M497" s="169"/>
      <c r="N497" s="170"/>
      <c r="O497" s="170"/>
      <c r="P497" s="170"/>
      <c r="Q497" s="170"/>
      <c r="R497" s="169"/>
      <c r="S497" s="169"/>
      <c r="T497" s="169"/>
      <c r="U497" s="169"/>
      <c r="V497" s="169"/>
      <c r="W497" s="169"/>
      <c r="X497" s="169"/>
      <c r="Y497" s="169"/>
      <c r="Z497" s="171"/>
      <c r="AA497" s="171"/>
      <c r="AB497" s="171"/>
      <c r="AC497" s="171"/>
      <c r="AD497" s="171"/>
      <c r="AE497" s="171"/>
      <c r="AF497" s="171"/>
      <c r="AG497" s="171" t="s">
        <v>148</v>
      </c>
      <c r="AH497" s="171">
        <v>0</v>
      </c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  <c r="AY497" s="171"/>
      <c r="AZ497" s="171"/>
      <c r="BA497" s="171"/>
      <c r="BB497" s="171"/>
      <c r="BC497" s="171"/>
      <c r="BD497" s="171"/>
      <c r="BE497" s="171"/>
      <c r="BF497" s="171"/>
      <c r="BG497" s="171"/>
      <c r="BH497" s="171"/>
    </row>
    <row r="498" spans="1:60" outlineLevel="3" x14ac:dyDescent="0.2">
      <c r="A498" s="172"/>
      <c r="B498" s="173"/>
      <c r="C498" s="174" t="s">
        <v>232</v>
      </c>
      <c r="D498" s="175"/>
      <c r="E498" s="176">
        <v>6</v>
      </c>
      <c r="F498" s="196"/>
      <c r="G498" s="169"/>
      <c r="H498" s="169"/>
      <c r="I498" s="169"/>
      <c r="J498" s="169"/>
      <c r="K498" s="169"/>
      <c r="L498" s="169"/>
      <c r="M498" s="169"/>
      <c r="N498" s="170"/>
      <c r="O498" s="170"/>
      <c r="P498" s="170"/>
      <c r="Q498" s="170"/>
      <c r="R498" s="169"/>
      <c r="S498" s="169"/>
      <c r="T498" s="169"/>
      <c r="U498" s="169"/>
      <c r="V498" s="169"/>
      <c r="W498" s="169"/>
      <c r="X498" s="169"/>
      <c r="Y498" s="169"/>
      <c r="Z498" s="171"/>
      <c r="AA498" s="171"/>
      <c r="AB498" s="171"/>
      <c r="AC498" s="171"/>
      <c r="AD498" s="171"/>
      <c r="AE498" s="171"/>
      <c r="AF498" s="171"/>
      <c r="AG498" s="171" t="s">
        <v>148</v>
      </c>
      <c r="AH498" s="171">
        <v>0</v>
      </c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  <c r="AY498" s="171"/>
      <c r="AZ498" s="171"/>
      <c r="BA498" s="171"/>
      <c r="BB498" s="171"/>
      <c r="BC498" s="171"/>
      <c r="BD498" s="171"/>
      <c r="BE498" s="171"/>
      <c r="BF498" s="171"/>
      <c r="BG498" s="171"/>
      <c r="BH498" s="171"/>
    </row>
    <row r="499" spans="1:60" outlineLevel="3" x14ac:dyDescent="0.2">
      <c r="A499" s="172"/>
      <c r="B499" s="173"/>
      <c r="C499" s="174" t="s">
        <v>528</v>
      </c>
      <c r="D499" s="175"/>
      <c r="E499" s="176"/>
      <c r="F499" s="196"/>
      <c r="G499" s="169"/>
      <c r="H499" s="169"/>
      <c r="I499" s="169"/>
      <c r="J499" s="169"/>
      <c r="K499" s="169"/>
      <c r="L499" s="169"/>
      <c r="M499" s="169"/>
      <c r="N499" s="170"/>
      <c r="O499" s="170"/>
      <c r="P499" s="170"/>
      <c r="Q499" s="170"/>
      <c r="R499" s="169"/>
      <c r="S499" s="169"/>
      <c r="T499" s="169"/>
      <c r="U499" s="169"/>
      <c r="V499" s="169"/>
      <c r="W499" s="169"/>
      <c r="X499" s="169"/>
      <c r="Y499" s="169"/>
      <c r="Z499" s="171"/>
      <c r="AA499" s="171"/>
      <c r="AB499" s="171"/>
      <c r="AC499" s="171"/>
      <c r="AD499" s="171"/>
      <c r="AE499" s="171"/>
      <c r="AF499" s="171"/>
      <c r="AG499" s="171" t="s">
        <v>148</v>
      </c>
      <c r="AH499" s="171">
        <v>0</v>
      </c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  <c r="AY499" s="171"/>
      <c r="AZ499" s="171"/>
      <c r="BA499" s="171"/>
      <c r="BB499" s="171"/>
      <c r="BC499" s="171"/>
      <c r="BD499" s="171"/>
      <c r="BE499" s="171"/>
      <c r="BF499" s="171"/>
      <c r="BG499" s="171"/>
      <c r="BH499" s="171"/>
    </row>
    <row r="500" spans="1:60" outlineLevel="3" x14ac:dyDescent="0.2">
      <c r="A500" s="172"/>
      <c r="B500" s="173"/>
      <c r="C500" s="174" t="s">
        <v>63</v>
      </c>
      <c r="D500" s="175"/>
      <c r="E500" s="176">
        <v>3</v>
      </c>
      <c r="F500" s="196"/>
      <c r="G500" s="169"/>
      <c r="H500" s="169"/>
      <c r="I500" s="169"/>
      <c r="J500" s="169"/>
      <c r="K500" s="169"/>
      <c r="L500" s="169"/>
      <c r="M500" s="169"/>
      <c r="N500" s="170"/>
      <c r="O500" s="170"/>
      <c r="P500" s="170"/>
      <c r="Q500" s="170"/>
      <c r="R500" s="169"/>
      <c r="S500" s="169"/>
      <c r="T500" s="169"/>
      <c r="U500" s="169"/>
      <c r="V500" s="169"/>
      <c r="W500" s="169"/>
      <c r="X500" s="169"/>
      <c r="Y500" s="169"/>
      <c r="Z500" s="171"/>
      <c r="AA500" s="171"/>
      <c r="AB500" s="171"/>
      <c r="AC500" s="171"/>
      <c r="AD500" s="171"/>
      <c r="AE500" s="171"/>
      <c r="AF500" s="171"/>
      <c r="AG500" s="171" t="s">
        <v>148</v>
      </c>
      <c r="AH500" s="171">
        <v>0</v>
      </c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  <c r="AY500" s="171"/>
      <c r="AZ500" s="171"/>
      <c r="BA500" s="171"/>
      <c r="BB500" s="171"/>
      <c r="BC500" s="171"/>
      <c r="BD500" s="171"/>
      <c r="BE500" s="171"/>
      <c r="BF500" s="171"/>
      <c r="BG500" s="171"/>
      <c r="BH500" s="171"/>
    </row>
    <row r="501" spans="1:60" outlineLevel="1" x14ac:dyDescent="0.2">
      <c r="A501" s="162">
        <v>86</v>
      </c>
      <c r="B501" s="163" t="s">
        <v>548</v>
      </c>
      <c r="C501" s="164" t="s">
        <v>549</v>
      </c>
      <c r="D501" s="165" t="s">
        <v>230</v>
      </c>
      <c r="E501" s="166">
        <v>6</v>
      </c>
      <c r="F501" s="140"/>
      <c r="G501" s="167">
        <f>ROUND(E501*F501,2)</f>
        <v>0</v>
      </c>
      <c r="H501" s="168"/>
      <c r="I501" s="169">
        <f>ROUND(E501*H501,2)</f>
        <v>0</v>
      </c>
      <c r="J501" s="168"/>
      <c r="K501" s="169">
        <f>ROUND(E501*J501,2)</f>
        <v>0</v>
      </c>
      <c r="L501" s="169">
        <v>21</v>
      </c>
      <c r="M501" s="169">
        <f>G501*(1+L501/100)</f>
        <v>0</v>
      </c>
      <c r="N501" s="170">
        <v>1.7000000000000001E-2</v>
      </c>
      <c r="O501" s="170">
        <f>ROUND(E501*N501,2)</f>
        <v>0.1</v>
      </c>
      <c r="P501" s="170">
        <v>0</v>
      </c>
      <c r="Q501" s="170">
        <f>ROUND(E501*P501,2)</f>
        <v>0</v>
      </c>
      <c r="R501" s="169" t="s">
        <v>224</v>
      </c>
      <c r="S501" s="169" t="s">
        <v>143</v>
      </c>
      <c r="T501" s="169" t="s">
        <v>143</v>
      </c>
      <c r="U501" s="169">
        <v>0</v>
      </c>
      <c r="V501" s="169">
        <f>ROUND(E501*U501,2)</f>
        <v>0</v>
      </c>
      <c r="W501" s="169"/>
      <c r="X501" s="169" t="s">
        <v>225</v>
      </c>
      <c r="Y501" s="169" t="s">
        <v>145</v>
      </c>
      <c r="Z501" s="171"/>
      <c r="AA501" s="171"/>
      <c r="AB501" s="171"/>
      <c r="AC501" s="171"/>
      <c r="AD501" s="171"/>
      <c r="AE501" s="171"/>
      <c r="AF501" s="171"/>
      <c r="AG501" s="171" t="s">
        <v>226</v>
      </c>
      <c r="AH501" s="171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  <c r="AY501" s="171"/>
      <c r="AZ501" s="171"/>
      <c r="BA501" s="171"/>
      <c r="BB501" s="171"/>
      <c r="BC501" s="171"/>
      <c r="BD501" s="171"/>
      <c r="BE501" s="171"/>
      <c r="BF501" s="171"/>
      <c r="BG501" s="171"/>
      <c r="BH501" s="171"/>
    </row>
    <row r="502" spans="1:60" outlineLevel="2" x14ac:dyDescent="0.2">
      <c r="A502" s="172"/>
      <c r="B502" s="173"/>
      <c r="C502" s="174" t="s">
        <v>530</v>
      </c>
      <c r="D502" s="175"/>
      <c r="E502" s="176"/>
      <c r="F502" s="196"/>
      <c r="G502" s="169"/>
      <c r="H502" s="169"/>
      <c r="I502" s="169"/>
      <c r="J502" s="169"/>
      <c r="K502" s="169"/>
      <c r="L502" s="169"/>
      <c r="M502" s="169"/>
      <c r="N502" s="170"/>
      <c r="O502" s="170"/>
      <c r="P502" s="170"/>
      <c r="Q502" s="170"/>
      <c r="R502" s="169"/>
      <c r="S502" s="169"/>
      <c r="T502" s="169"/>
      <c r="U502" s="169"/>
      <c r="V502" s="169"/>
      <c r="W502" s="169"/>
      <c r="X502" s="169"/>
      <c r="Y502" s="169"/>
      <c r="Z502" s="171"/>
      <c r="AA502" s="171"/>
      <c r="AB502" s="171"/>
      <c r="AC502" s="171"/>
      <c r="AD502" s="171"/>
      <c r="AE502" s="171"/>
      <c r="AF502" s="171"/>
      <c r="AG502" s="171" t="s">
        <v>148</v>
      </c>
      <c r="AH502" s="171">
        <v>0</v>
      </c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  <c r="AY502" s="171"/>
      <c r="AZ502" s="171"/>
      <c r="BA502" s="171"/>
      <c r="BB502" s="171"/>
      <c r="BC502" s="171"/>
      <c r="BD502" s="171"/>
      <c r="BE502" s="171"/>
      <c r="BF502" s="171"/>
      <c r="BG502" s="171"/>
      <c r="BH502" s="171"/>
    </row>
    <row r="503" spans="1:60" outlineLevel="3" x14ac:dyDescent="0.2">
      <c r="A503" s="172"/>
      <c r="B503" s="173"/>
      <c r="C503" s="174" t="s">
        <v>232</v>
      </c>
      <c r="D503" s="175"/>
      <c r="E503" s="176">
        <v>6</v>
      </c>
      <c r="F503" s="196"/>
      <c r="G503" s="169"/>
      <c r="H503" s="169"/>
      <c r="I503" s="169"/>
      <c r="J503" s="169"/>
      <c r="K503" s="169"/>
      <c r="L503" s="169"/>
      <c r="M503" s="169"/>
      <c r="N503" s="170"/>
      <c r="O503" s="170"/>
      <c r="P503" s="170"/>
      <c r="Q503" s="170"/>
      <c r="R503" s="169"/>
      <c r="S503" s="169"/>
      <c r="T503" s="169"/>
      <c r="U503" s="169"/>
      <c r="V503" s="169"/>
      <c r="W503" s="169"/>
      <c r="X503" s="169"/>
      <c r="Y503" s="169"/>
      <c r="Z503" s="171"/>
      <c r="AA503" s="171"/>
      <c r="AB503" s="171"/>
      <c r="AC503" s="171"/>
      <c r="AD503" s="171"/>
      <c r="AE503" s="171"/>
      <c r="AF503" s="171"/>
      <c r="AG503" s="171" t="s">
        <v>148</v>
      </c>
      <c r="AH503" s="171">
        <v>0</v>
      </c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  <c r="AY503" s="171"/>
      <c r="AZ503" s="171"/>
      <c r="BA503" s="171"/>
      <c r="BB503" s="171"/>
      <c r="BC503" s="171"/>
      <c r="BD503" s="171"/>
      <c r="BE503" s="171"/>
      <c r="BF503" s="171"/>
      <c r="BG503" s="171"/>
      <c r="BH503" s="171"/>
    </row>
    <row r="504" spans="1:60" outlineLevel="1" x14ac:dyDescent="0.2">
      <c r="A504" s="162">
        <v>87</v>
      </c>
      <c r="B504" s="163" t="s">
        <v>550</v>
      </c>
      <c r="C504" s="164" t="s">
        <v>551</v>
      </c>
      <c r="D504" s="165" t="s">
        <v>230</v>
      </c>
      <c r="E504" s="166">
        <v>12</v>
      </c>
      <c r="F504" s="140"/>
      <c r="G504" s="167">
        <f>ROUND(E504*F504,2)</f>
        <v>0</v>
      </c>
      <c r="H504" s="168"/>
      <c r="I504" s="169">
        <f>ROUND(E504*H504,2)</f>
        <v>0</v>
      </c>
      <c r="J504" s="168"/>
      <c r="K504" s="169">
        <f>ROUND(E504*J504,2)</f>
        <v>0</v>
      </c>
      <c r="L504" s="169">
        <v>21</v>
      </c>
      <c r="M504" s="169">
        <f>G504*(1+L504/100)</f>
        <v>0</v>
      </c>
      <c r="N504" s="170">
        <v>1.9E-2</v>
      </c>
      <c r="O504" s="170">
        <f>ROUND(E504*N504,2)</f>
        <v>0.23</v>
      </c>
      <c r="P504" s="170">
        <v>0</v>
      </c>
      <c r="Q504" s="170">
        <f>ROUND(E504*P504,2)</f>
        <v>0</v>
      </c>
      <c r="R504" s="169" t="s">
        <v>224</v>
      </c>
      <c r="S504" s="169" t="s">
        <v>143</v>
      </c>
      <c r="T504" s="169" t="s">
        <v>143</v>
      </c>
      <c r="U504" s="169">
        <v>0</v>
      </c>
      <c r="V504" s="169">
        <f>ROUND(E504*U504,2)</f>
        <v>0</v>
      </c>
      <c r="W504" s="169"/>
      <c r="X504" s="169" t="s">
        <v>225</v>
      </c>
      <c r="Y504" s="169" t="s">
        <v>145</v>
      </c>
      <c r="Z504" s="171"/>
      <c r="AA504" s="171"/>
      <c r="AB504" s="171"/>
      <c r="AC504" s="171"/>
      <c r="AD504" s="171"/>
      <c r="AE504" s="171"/>
      <c r="AF504" s="171"/>
      <c r="AG504" s="171" t="s">
        <v>226</v>
      </c>
      <c r="AH504" s="171"/>
      <c r="AI504" s="171"/>
      <c r="AJ504" s="171"/>
      <c r="AK504" s="171"/>
      <c r="AL504" s="171"/>
      <c r="AM504" s="171"/>
      <c r="AN504" s="171"/>
      <c r="AO504" s="171"/>
      <c r="AP504" s="171"/>
      <c r="AQ504" s="171"/>
      <c r="AR504" s="171"/>
      <c r="AS504" s="171"/>
      <c r="AT504" s="171"/>
      <c r="AU504" s="171"/>
      <c r="AV504" s="171"/>
      <c r="AW504" s="171"/>
      <c r="AX504" s="171"/>
      <c r="AY504" s="171"/>
      <c r="AZ504" s="171"/>
      <c r="BA504" s="171"/>
      <c r="BB504" s="171"/>
      <c r="BC504" s="171"/>
      <c r="BD504" s="171"/>
      <c r="BE504" s="171"/>
      <c r="BF504" s="171"/>
      <c r="BG504" s="171"/>
      <c r="BH504" s="171"/>
    </row>
    <row r="505" spans="1:60" outlineLevel="2" x14ac:dyDescent="0.2">
      <c r="A505" s="172"/>
      <c r="B505" s="173"/>
      <c r="C505" s="174" t="s">
        <v>532</v>
      </c>
      <c r="D505" s="175"/>
      <c r="E505" s="176"/>
      <c r="F505" s="196"/>
      <c r="G505" s="169"/>
      <c r="H505" s="169"/>
      <c r="I505" s="169"/>
      <c r="J505" s="169"/>
      <c r="K505" s="169"/>
      <c r="L505" s="169"/>
      <c r="M505" s="169"/>
      <c r="N505" s="170"/>
      <c r="O505" s="170"/>
      <c r="P505" s="170"/>
      <c r="Q505" s="170"/>
      <c r="R505" s="169"/>
      <c r="S505" s="169"/>
      <c r="T505" s="169"/>
      <c r="U505" s="169"/>
      <c r="V505" s="169"/>
      <c r="W505" s="169"/>
      <c r="X505" s="169"/>
      <c r="Y505" s="169"/>
      <c r="Z505" s="171"/>
      <c r="AA505" s="171"/>
      <c r="AB505" s="171"/>
      <c r="AC505" s="171"/>
      <c r="AD505" s="171"/>
      <c r="AE505" s="171"/>
      <c r="AF505" s="171"/>
      <c r="AG505" s="171" t="s">
        <v>148</v>
      </c>
      <c r="AH505" s="171">
        <v>0</v>
      </c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  <c r="AY505" s="171"/>
      <c r="AZ505" s="171"/>
      <c r="BA505" s="171"/>
      <c r="BB505" s="171"/>
      <c r="BC505" s="171"/>
      <c r="BD505" s="171"/>
      <c r="BE505" s="171"/>
      <c r="BF505" s="171"/>
      <c r="BG505" s="171"/>
      <c r="BH505" s="171"/>
    </row>
    <row r="506" spans="1:60" outlineLevel="3" x14ac:dyDescent="0.2">
      <c r="A506" s="172"/>
      <c r="B506" s="173"/>
      <c r="C506" s="174" t="s">
        <v>232</v>
      </c>
      <c r="D506" s="175"/>
      <c r="E506" s="176">
        <v>6</v>
      </c>
      <c r="F506" s="196"/>
      <c r="G506" s="169"/>
      <c r="H506" s="169"/>
      <c r="I506" s="169"/>
      <c r="J506" s="169"/>
      <c r="K506" s="169"/>
      <c r="L506" s="169"/>
      <c r="M506" s="169"/>
      <c r="N506" s="170"/>
      <c r="O506" s="170"/>
      <c r="P506" s="170"/>
      <c r="Q506" s="170"/>
      <c r="R506" s="169"/>
      <c r="S506" s="169"/>
      <c r="T506" s="169"/>
      <c r="U506" s="169"/>
      <c r="V506" s="169"/>
      <c r="W506" s="169"/>
      <c r="X506" s="169"/>
      <c r="Y506" s="169"/>
      <c r="Z506" s="171"/>
      <c r="AA506" s="171"/>
      <c r="AB506" s="171"/>
      <c r="AC506" s="171"/>
      <c r="AD506" s="171"/>
      <c r="AE506" s="171"/>
      <c r="AF506" s="171"/>
      <c r="AG506" s="171" t="s">
        <v>148</v>
      </c>
      <c r="AH506" s="171">
        <v>0</v>
      </c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171"/>
      <c r="AT506" s="171"/>
      <c r="AU506" s="171"/>
      <c r="AV506" s="171"/>
      <c r="AW506" s="171"/>
      <c r="AX506" s="171"/>
      <c r="AY506" s="171"/>
      <c r="AZ506" s="171"/>
      <c r="BA506" s="171"/>
      <c r="BB506" s="171"/>
      <c r="BC506" s="171"/>
      <c r="BD506" s="171"/>
      <c r="BE506" s="171"/>
      <c r="BF506" s="171"/>
      <c r="BG506" s="171"/>
      <c r="BH506" s="171"/>
    </row>
    <row r="507" spans="1:60" outlineLevel="3" x14ac:dyDescent="0.2">
      <c r="A507" s="172"/>
      <c r="B507" s="173"/>
      <c r="C507" s="174" t="s">
        <v>533</v>
      </c>
      <c r="D507" s="175"/>
      <c r="E507" s="176"/>
      <c r="F507" s="196"/>
      <c r="G507" s="169"/>
      <c r="H507" s="169"/>
      <c r="I507" s="169"/>
      <c r="J507" s="169"/>
      <c r="K507" s="169"/>
      <c r="L507" s="169"/>
      <c r="M507" s="169"/>
      <c r="N507" s="170"/>
      <c r="O507" s="170"/>
      <c r="P507" s="170"/>
      <c r="Q507" s="170"/>
      <c r="R507" s="169"/>
      <c r="S507" s="169"/>
      <c r="T507" s="169"/>
      <c r="U507" s="169"/>
      <c r="V507" s="169"/>
      <c r="W507" s="169"/>
      <c r="X507" s="169"/>
      <c r="Y507" s="169"/>
      <c r="Z507" s="171"/>
      <c r="AA507" s="171"/>
      <c r="AB507" s="171"/>
      <c r="AC507" s="171"/>
      <c r="AD507" s="171"/>
      <c r="AE507" s="171"/>
      <c r="AF507" s="171"/>
      <c r="AG507" s="171" t="s">
        <v>148</v>
      </c>
      <c r="AH507" s="171">
        <v>0</v>
      </c>
      <c r="AI507" s="171"/>
      <c r="AJ507" s="171"/>
      <c r="AK507" s="171"/>
      <c r="AL507" s="171"/>
      <c r="AM507" s="171"/>
      <c r="AN507" s="171"/>
      <c r="AO507" s="171"/>
      <c r="AP507" s="171"/>
      <c r="AQ507" s="171"/>
      <c r="AR507" s="171"/>
      <c r="AS507" s="171"/>
      <c r="AT507" s="171"/>
      <c r="AU507" s="171"/>
      <c r="AV507" s="171"/>
      <c r="AW507" s="171"/>
      <c r="AX507" s="171"/>
      <c r="AY507" s="171"/>
      <c r="AZ507" s="171"/>
      <c r="BA507" s="171"/>
      <c r="BB507" s="171"/>
      <c r="BC507" s="171"/>
      <c r="BD507" s="171"/>
      <c r="BE507" s="171"/>
      <c r="BF507" s="171"/>
      <c r="BG507" s="171"/>
      <c r="BH507" s="171"/>
    </row>
    <row r="508" spans="1:60" outlineLevel="3" x14ac:dyDescent="0.2">
      <c r="A508" s="172"/>
      <c r="B508" s="173"/>
      <c r="C508" s="174" t="s">
        <v>232</v>
      </c>
      <c r="D508" s="175"/>
      <c r="E508" s="176">
        <v>6</v>
      </c>
      <c r="F508" s="196"/>
      <c r="G508" s="169"/>
      <c r="H508" s="169"/>
      <c r="I508" s="169"/>
      <c r="J508" s="169"/>
      <c r="K508" s="169"/>
      <c r="L508" s="169"/>
      <c r="M508" s="169"/>
      <c r="N508" s="170"/>
      <c r="O508" s="170"/>
      <c r="P508" s="170"/>
      <c r="Q508" s="170"/>
      <c r="R508" s="169"/>
      <c r="S508" s="169"/>
      <c r="T508" s="169"/>
      <c r="U508" s="169"/>
      <c r="V508" s="169"/>
      <c r="W508" s="169"/>
      <c r="X508" s="169"/>
      <c r="Y508" s="169"/>
      <c r="Z508" s="171"/>
      <c r="AA508" s="171"/>
      <c r="AB508" s="171"/>
      <c r="AC508" s="171"/>
      <c r="AD508" s="171"/>
      <c r="AE508" s="171"/>
      <c r="AF508" s="171"/>
      <c r="AG508" s="171" t="s">
        <v>148</v>
      </c>
      <c r="AH508" s="171">
        <v>0</v>
      </c>
      <c r="AI508" s="171"/>
      <c r="AJ508" s="171"/>
      <c r="AK508" s="171"/>
      <c r="AL508" s="171"/>
      <c r="AM508" s="171"/>
      <c r="AN508" s="171"/>
      <c r="AO508" s="171"/>
      <c r="AP508" s="171"/>
      <c r="AQ508" s="171"/>
      <c r="AR508" s="171"/>
      <c r="AS508" s="171"/>
      <c r="AT508" s="171"/>
      <c r="AU508" s="171"/>
      <c r="AV508" s="171"/>
      <c r="AW508" s="171"/>
      <c r="AX508" s="171"/>
      <c r="AY508" s="171"/>
      <c r="AZ508" s="171"/>
      <c r="BA508" s="171"/>
      <c r="BB508" s="171"/>
      <c r="BC508" s="171"/>
      <c r="BD508" s="171"/>
      <c r="BE508" s="171"/>
      <c r="BF508" s="171"/>
      <c r="BG508" s="171"/>
      <c r="BH508" s="171"/>
    </row>
    <row r="509" spans="1:60" outlineLevel="1" x14ac:dyDescent="0.2">
      <c r="A509" s="172">
        <v>88</v>
      </c>
      <c r="B509" s="173" t="s">
        <v>552</v>
      </c>
      <c r="C509" s="186" t="s">
        <v>553</v>
      </c>
      <c r="D509" s="187" t="s">
        <v>0</v>
      </c>
      <c r="E509" s="142"/>
      <c r="F509" s="139"/>
      <c r="G509" s="169">
        <f>ROUND(E509*F509,2)</f>
        <v>0</v>
      </c>
      <c r="H509" s="168"/>
      <c r="I509" s="169">
        <f>ROUND(E509*H509,2)</f>
        <v>0</v>
      </c>
      <c r="J509" s="168"/>
      <c r="K509" s="169">
        <f>ROUND(E509*J509,2)</f>
        <v>0</v>
      </c>
      <c r="L509" s="169">
        <v>21</v>
      </c>
      <c r="M509" s="169">
        <f>G509*(1+L509/100)</f>
        <v>0</v>
      </c>
      <c r="N509" s="170">
        <v>0</v>
      </c>
      <c r="O509" s="170">
        <f>ROUND(E509*N509,2)</f>
        <v>0</v>
      </c>
      <c r="P509" s="170">
        <v>0</v>
      </c>
      <c r="Q509" s="170">
        <f>ROUND(E509*P509,2)</f>
        <v>0</v>
      </c>
      <c r="R509" s="169"/>
      <c r="S509" s="169" t="s">
        <v>143</v>
      </c>
      <c r="T509" s="169" t="s">
        <v>143</v>
      </c>
      <c r="U509" s="169">
        <v>0</v>
      </c>
      <c r="V509" s="169">
        <f>ROUND(E509*U509,2)</f>
        <v>0</v>
      </c>
      <c r="W509" s="169"/>
      <c r="X509" s="169" t="s">
        <v>448</v>
      </c>
      <c r="Y509" s="169" t="s">
        <v>145</v>
      </c>
      <c r="Z509" s="171"/>
      <c r="AA509" s="171"/>
      <c r="AB509" s="171"/>
      <c r="AC509" s="171"/>
      <c r="AD509" s="171"/>
      <c r="AE509" s="171"/>
      <c r="AF509" s="171"/>
      <c r="AG509" s="171" t="s">
        <v>449</v>
      </c>
      <c r="AH509" s="171"/>
      <c r="AI509" s="171"/>
      <c r="AJ509" s="171"/>
      <c r="AK509" s="171"/>
      <c r="AL509" s="171"/>
      <c r="AM509" s="171"/>
      <c r="AN509" s="171"/>
      <c r="AO509" s="171"/>
      <c r="AP509" s="171"/>
      <c r="AQ509" s="171"/>
      <c r="AR509" s="171"/>
      <c r="AS509" s="171"/>
      <c r="AT509" s="171"/>
      <c r="AU509" s="171"/>
      <c r="AV509" s="171"/>
      <c r="AW509" s="171"/>
      <c r="AX509" s="171"/>
      <c r="AY509" s="171"/>
      <c r="AZ509" s="171"/>
      <c r="BA509" s="171"/>
      <c r="BB509" s="171"/>
      <c r="BC509" s="171"/>
      <c r="BD509" s="171"/>
      <c r="BE509" s="171"/>
      <c r="BF509" s="171"/>
      <c r="BG509" s="171"/>
      <c r="BH509" s="171"/>
    </row>
    <row r="510" spans="1:60" x14ac:dyDescent="0.2">
      <c r="A510" s="153" t="s">
        <v>138</v>
      </c>
      <c r="B510" s="154" t="s">
        <v>95</v>
      </c>
      <c r="C510" s="155" t="s">
        <v>96</v>
      </c>
      <c r="D510" s="156"/>
      <c r="E510" s="157"/>
      <c r="F510" s="197"/>
      <c r="G510" s="159">
        <f>SUMIF(AG511:AG512,"&lt;&gt;NOR",G511:G512)</f>
        <v>0</v>
      </c>
      <c r="H510" s="160"/>
      <c r="I510" s="160">
        <f>SUM(I511:I512)</f>
        <v>0</v>
      </c>
      <c r="J510" s="160"/>
      <c r="K510" s="160">
        <f>SUM(K511:K512)</f>
        <v>0</v>
      </c>
      <c r="L510" s="160"/>
      <c r="M510" s="160">
        <f>SUM(M511:M512)</f>
        <v>0</v>
      </c>
      <c r="N510" s="161"/>
      <c r="O510" s="161">
        <f>SUM(O511:O512)</f>
        <v>0</v>
      </c>
      <c r="P510" s="161"/>
      <c r="Q510" s="161">
        <f>SUM(Q511:Q512)</f>
        <v>0</v>
      </c>
      <c r="R510" s="160"/>
      <c r="S510" s="160"/>
      <c r="T510" s="160"/>
      <c r="U510" s="160"/>
      <c r="V510" s="160">
        <f>SUM(V511:V512)</f>
        <v>0</v>
      </c>
      <c r="W510" s="160"/>
      <c r="X510" s="160"/>
      <c r="Y510" s="160"/>
      <c r="AG510" t="s">
        <v>139</v>
      </c>
    </row>
    <row r="511" spans="1:60" outlineLevel="1" x14ac:dyDescent="0.2">
      <c r="A511" s="162">
        <v>89</v>
      </c>
      <c r="B511" s="163" t="s">
        <v>554</v>
      </c>
      <c r="C511" s="164" t="s">
        <v>555</v>
      </c>
      <c r="D511" s="165" t="s">
        <v>230</v>
      </c>
      <c r="E511" s="166">
        <v>3</v>
      </c>
      <c r="F511" s="140"/>
      <c r="G511" s="167">
        <f>ROUND(E511*F511,2)</f>
        <v>0</v>
      </c>
      <c r="H511" s="168"/>
      <c r="I511" s="169">
        <f>ROUND(E511*H511,2)</f>
        <v>0</v>
      </c>
      <c r="J511" s="168"/>
      <c r="K511" s="169">
        <f>ROUND(E511*J511,2)</f>
        <v>0</v>
      </c>
      <c r="L511" s="169">
        <v>21</v>
      </c>
      <c r="M511" s="169">
        <f>G511*(1+L511/100)</f>
        <v>0</v>
      </c>
      <c r="N511" s="170">
        <v>0</v>
      </c>
      <c r="O511" s="170">
        <f>ROUND(E511*N511,2)</f>
        <v>0</v>
      </c>
      <c r="P511" s="170">
        <v>0</v>
      </c>
      <c r="Q511" s="170">
        <f>ROUND(E511*P511,2)</f>
        <v>0</v>
      </c>
      <c r="R511" s="169"/>
      <c r="S511" s="169" t="s">
        <v>213</v>
      </c>
      <c r="T511" s="169" t="s">
        <v>214</v>
      </c>
      <c r="U511" s="169">
        <v>0</v>
      </c>
      <c r="V511" s="169">
        <f>ROUND(E511*U511,2)</f>
        <v>0</v>
      </c>
      <c r="W511" s="169"/>
      <c r="X511" s="169" t="s">
        <v>144</v>
      </c>
      <c r="Y511" s="169" t="s">
        <v>145</v>
      </c>
      <c r="Z511" s="171"/>
      <c r="AA511" s="171"/>
      <c r="AB511" s="171"/>
      <c r="AC511" s="171"/>
      <c r="AD511" s="171"/>
      <c r="AE511" s="171"/>
      <c r="AF511" s="171"/>
      <c r="AG511" s="171" t="s">
        <v>146</v>
      </c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1"/>
      <c r="AT511" s="171"/>
      <c r="AU511" s="171"/>
      <c r="AV511" s="171"/>
      <c r="AW511" s="171"/>
      <c r="AX511" s="171"/>
      <c r="AY511" s="171"/>
      <c r="AZ511" s="171"/>
      <c r="BA511" s="171"/>
      <c r="BB511" s="171"/>
      <c r="BC511" s="171"/>
      <c r="BD511" s="171"/>
      <c r="BE511" s="171"/>
      <c r="BF511" s="171"/>
      <c r="BG511" s="171"/>
      <c r="BH511" s="171"/>
    </row>
    <row r="512" spans="1:60" outlineLevel="1" x14ac:dyDescent="0.2">
      <c r="A512" s="172">
        <v>90</v>
      </c>
      <c r="B512" s="173" t="s">
        <v>556</v>
      </c>
      <c r="C512" s="186" t="s">
        <v>557</v>
      </c>
      <c r="D512" s="187" t="s">
        <v>0</v>
      </c>
      <c r="E512" s="142"/>
      <c r="F512" s="139"/>
      <c r="G512" s="169">
        <f>ROUND(E512*F512,2)</f>
        <v>0</v>
      </c>
      <c r="H512" s="168"/>
      <c r="I512" s="169">
        <f>ROUND(E512*H512,2)</f>
        <v>0</v>
      </c>
      <c r="J512" s="168"/>
      <c r="K512" s="169">
        <f>ROUND(E512*J512,2)</f>
        <v>0</v>
      </c>
      <c r="L512" s="169">
        <v>21</v>
      </c>
      <c r="M512" s="169">
        <f>G512*(1+L512/100)</f>
        <v>0</v>
      </c>
      <c r="N512" s="170">
        <v>0</v>
      </c>
      <c r="O512" s="170">
        <f>ROUND(E512*N512,2)</f>
        <v>0</v>
      </c>
      <c r="P512" s="170">
        <v>0</v>
      </c>
      <c r="Q512" s="170">
        <f>ROUND(E512*P512,2)</f>
        <v>0</v>
      </c>
      <c r="R512" s="169"/>
      <c r="S512" s="169" t="s">
        <v>143</v>
      </c>
      <c r="T512" s="169" t="s">
        <v>143</v>
      </c>
      <c r="U512" s="169">
        <v>0</v>
      </c>
      <c r="V512" s="169">
        <f>ROUND(E512*U512,2)</f>
        <v>0</v>
      </c>
      <c r="W512" s="169"/>
      <c r="X512" s="169" t="s">
        <v>448</v>
      </c>
      <c r="Y512" s="169" t="s">
        <v>145</v>
      </c>
      <c r="Z512" s="171"/>
      <c r="AA512" s="171"/>
      <c r="AB512" s="171"/>
      <c r="AC512" s="171"/>
      <c r="AD512" s="171"/>
      <c r="AE512" s="171"/>
      <c r="AF512" s="171"/>
      <c r="AG512" s="171" t="s">
        <v>449</v>
      </c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1"/>
      <c r="AT512" s="171"/>
      <c r="AU512" s="171"/>
      <c r="AV512" s="171"/>
      <c r="AW512" s="171"/>
      <c r="AX512" s="171"/>
      <c r="AY512" s="171"/>
      <c r="AZ512" s="171"/>
      <c r="BA512" s="171"/>
      <c r="BB512" s="171"/>
      <c r="BC512" s="171"/>
      <c r="BD512" s="171"/>
      <c r="BE512" s="171"/>
      <c r="BF512" s="171"/>
      <c r="BG512" s="171"/>
      <c r="BH512" s="171"/>
    </row>
    <row r="513" spans="1:60" x14ac:dyDescent="0.2">
      <c r="A513" s="153" t="s">
        <v>138</v>
      </c>
      <c r="B513" s="154" t="s">
        <v>97</v>
      </c>
      <c r="C513" s="155" t="s">
        <v>98</v>
      </c>
      <c r="D513" s="156"/>
      <c r="E513" s="157"/>
      <c r="F513" s="197"/>
      <c r="G513" s="159">
        <f>SUMIF(AG514:AG557,"&lt;&gt;NOR",G514:G557)</f>
        <v>0</v>
      </c>
      <c r="H513" s="160"/>
      <c r="I513" s="160">
        <f>SUM(I514:I557)</f>
        <v>0</v>
      </c>
      <c r="J513" s="160"/>
      <c r="K513" s="160">
        <f>SUM(K514:K557)</f>
        <v>0</v>
      </c>
      <c r="L513" s="160"/>
      <c r="M513" s="160">
        <f>SUM(M514:M557)</f>
        <v>0</v>
      </c>
      <c r="N513" s="161"/>
      <c r="O513" s="161">
        <f>SUM(O514:O557)</f>
        <v>3.3</v>
      </c>
      <c r="P513" s="161"/>
      <c r="Q513" s="161">
        <f>SUM(Q514:Q557)</f>
        <v>0</v>
      </c>
      <c r="R513" s="160"/>
      <c r="S513" s="160"/>
      <c r="T513" s="160"/>
      <c r="U513" s="160"/>
      <c r="V513" s="160">
        <f>SUM(V514:V557)</f>
        <v>140.32999999999998</v>
      </c>
      <c r="W513" s="160"/>
      <c r="X513" s="160"/>
      <c r="Y513" s="160"/>
      <c r="AG513" t="s">
        <v>139</v>
      </c>
    </row>
    <row r="514" spans="1:60" ht="22.5" outlineLevel="1" x14ac:dyDescent="0.2">
      <c r="A514" s="162">
        <v>91</v>
      </c>
      <c r="B514" s="163" t="s">
        <v>558</v>
      </c>
      <c r="C514" s="164" t="s">
        <v>559</v>
      </c>
      <c r="D514" s="165" t="s">
        <v>159</v>
      </c>
      <c r="E514" s="166">
        <v>124.79</v>
      </c>
      <c r="F514" s="140"/>
      <c r="G514" s="167">
        <f>ROUND(E514*F514,2)</f>
        <v>0</v>
      </c>
      <c r="H514" s="168"/>
      <c r="I514" s="169">
        <f>ROUND(E514*H514,2)</f>
        <v>0</v>
      </c>
      <c r="J514" s="168"/>
      <c r="K514" s="169">
        <f>ROUND(E514*J514,2)</f>
        <v>0</v>
      </c>
      <c r="L514" s="169">
        <v>21</v>
      </c>
      <c r="M514" s="169">
        <f>G514*(1+L514/100)</f>
        <v>0</v>
      </c>
      <c r="N514" s="170">
        <v>2.1000000000000001E-4</v>
      </c>
      <c r="O514" s="170">
        <f>ROUND(E514*N514,2)</f>
        <v>0.03</v>
      </c>
      <c r="P514" s="170">
        <v>0</v>
      </c>
      <c r="Q514" s="170">
        <f>ROUND(E514*P514,2)</f>
        <v>0</v>
      </c>
      <c r="R514" s="169"/>
      <c r="S514" s="169" t="s">
        <v>143</v>
      </c>
      <c r="T514" s="169" t="s">
        <v>143</v>
      </c>
      <c r="U514" s="169">
        <v>0.05</v>
      </c>
      <c r="V514" s="169">
        <f>ROUND(E514*U514,2)</f>
        <v>6.24</v>
      </c>
      <c r="W514" s="169"/>
      <c r="X514" s="169" t="s">
        <v>144</v>
      </c>
      <c r="Y514" s="169" t="s">
        <v>145</v>
      </c>
      <c r="Z514" s="171"/>
      <c r="AA514" s="171"/>
      <c r="AB514" s="171"/>
      <c r="AC514" s="171"/>
      <c r="AD514" s="171"/>
      <c r="AE514" s="171"/>
      <c r="AF514" s="171"/>
      <c r="AG514" s="171" t="s">
        <v>146</v>
      </c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1"/>
      <c r="AT514" s="171"/>
      <c r="AU514" s="171"/>
      <c r="AV514" s="171"/>
      <c r="AW514" s="171"/>
      <c r="AX514" s="171"/>
      <c r="AY514" s="171"/>
      <c r="AZ514" s="171"/>
      <c r="BA514" s="171"/>
      <c r="BB514" s="171"/>
      <c r="BC514" s="171"/>
      <c r="BD514" s="171"/>
      <c r="BE514" s="171"/>
      <c r="BF514" s="171"/>
      <c r="BG514" s="171"/>
      <c r="BH514" s="171"/>
    </row>
    <row r="515" spans="1:60" outlineLevel="2" x14ac:dyDescent="0.2">
      <c r="A515" s="172"/>
      <c r="B515" s="173"/>
      <c r="C515" s="174" t="s">
        <v>452</v>
      </c>
      <c r="D515" s="175"/>
      <c r="E515" s="176"/>
      <c r="F515" s="196"/>
      <c r="G515" s="169"/>
      <c r="H515" s="169"/>
      <c r="I515" s="169"/>
      <c r="J515" s="169"/>
      <c r="K515" s="169"/>
      <c r="L515" s="169"/>
      <c r="M515" s="169"/>
      <c r="N515" s="170"/>
      <c r="O515" s="170"/>
      <c r="P515" s="170"/>
      <c r="Q515" s="170"/>
      <c r="R515" s="169"/>
      <c r="S515" s="169"/>
      <c r="T515" s="169"/>
      <c r="U515" s="169"/>
      <c r="V515" s="169"/>
      <c r="W515" s="169"/>
      <c r="X515" s="169"/>
      <c r="Y515" s="169"/>
      <c r="Z515" s="171"/>
      <c r="AA515" s="171"/>
      <c r="AB515" s="171"/>
      <c r="AC515" s="171"/>
      <c r="AD515" s="171"/>
      <c r="AE515" s="171"/>
      <c r="AF515" s="171"/>
      <c r="AG515" s="171" t="s">
        <v>148</v>
      </c>
      <c r="AH515" s="171">
        <v>0</v>
      </c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1"/>
      <c r="AT515" s="171"/>
      <c r="AU515" s="171"/>
      <c r="AV515" s="171"/>
      <c r="AW515" s="171"/>
      <c r="AX515" s="171"/>
      <c r="AY515" s="171"/>
      <c r="AZ515" s="171"/>
      <c r="BA515" s="171"/>
      <c r="BB515" s="171"/>
      <c r="BC515" s="171"/>
      <c r="BD515" s="171"/>
      <c r="BE515" s="171"/>
      <c r="BF515" s="171"/>
      <c r="BG515" s="171"/>
      <c r="BH515" s="171"/>
    </row>
    <row r="516" spans="1:60" outlineLevel="3" x14ac:dyDescent="0.2">
      <c r="A516" s="172"/>
      <c r="B516" s="173"/>
      <c r="C516" s="174" t="s">
        <v>453</v>
      </c>
      <c r="D516" s="175"/>
      <c r="E516" s="176">
        <v>118.61</v>
      </c>
      <c r="F516" s="196"/>
      <c r="G516" s="169"/>
      <c r="H516" s="169"/>
      <c r="I516" s="169"/>
      <c r="J516" s="169"/>
      <c r="K516" s="169"/>
      <c r="L516" s="169"/>
      <c r="M516" s="169"/>
      <c r="N516" s="170"/>
      <c r="O516" s="170"/>
      <c r="P516" s="170"/>
      <c r="Q516" s="170"/>
      <c r="R516" s="169"/>
      <c r="S516" s="169"/>
      <c r="T516" s="169"/>
      <c r="U516" s="169"/>
      <c r="V516" s="169"/>
      <c r="W516" s="169"/>
      <c r="X516" s="169"/>
      <c r="Y516" s="169"/>
      <c r="Z516" s="171"/>
      <c r="AA516" s="171"/>
      <c r="AB516" s="171"/>
      <c r="AC516" s="171"/>
      <c r="AD516" s="171"/>
      <c r="AE516" s="171"/>
      <c r="AF516" s="171"/>
      <c r="AG516" s="171" t="s">
        <v>148</v>
      </c>
      <c r="AH516" s="171">
        <v>0</v>
      </c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1"/>
      <c r="AT516" s="171"/>
      <c r="AU516" s="171"/>
      <c r="AV516" s="171"/>
      <c r="AW516" s="171"/>
      <c r="AX516" s="171"/>
      <c r="AY516" s="171"/>
      <c r="AZ516" s="171"/>
      <c r="BA516" s="171"/>
      <c r="BB516" s="171"/>
      <c r="BC516" s="171"/>
      <c r="BD516" s="171"/>
      <c r="BE516" s="171"/>
      <c r="BF516" s="171"/>
      <c r="BG516" s="171"/>
      <c r="BH516" s="171"/>
    </row>
    <row r="517" spans="1:60" outlineLevel="3" x14ac:dyDescent="0.2">
      <c r="A517" s="172"/>
      <c r="B517" s="173"/>
      <c r="C517" s="174" t="s">
        <v>560</v>
      </c>
      <c r="D517" s="175"/>
      <c r="E517" s="176"/>
      <c r="F517" s="196"/>
      <c r="G517" s="169"/>
      <c r="H517" s="169"/>
      <c r="I517" s="169"/>
      <c r="J517" s="169"/>
      <c r="K517" s="169"/>
      <c r="L517" s="169"/>
      <c r="M517" s="169"/>
      <c r="N517" s="170"/>
      <c r="O517" s="170"/>
      <c r="P517" s="170"/>
      <c r="Q517" s="170"/>
      <c r="R517" s="169"/>
      <c r="S517" s="169"/>
      <c r="T517" s="169"/>
      <c r="U517" s="169"/>
      <c r="V517" s="169"/>
      <c r="W517" s="169"/>
      <c r="X517" s="169"/>
      <c r="Y517" s="169"/>
      <c r="Z517" s="171"/>
      <c r="AA517" s="171"/>
      <c r="AB517" s="171"/>
      <c r="AC517" s="171"/>
      <c r="AD517" s="171"/>
      <c r="AE517" s="171"/>
      <c r="AF517" s="171"/>
      <c r="AG517" s="171" t="s">
        <v>148</v>
      </c>
      <c r="AH517" s="171">
        <v>0</v>
      </c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1"/>
      <c r="AT517" s="171"/>
      <c r="AU517" s="171"/>
      <c r="AV517" s="171"/>
      <c r="AW517" s="171"/>
      <c r="AX517" s="171"/>
      <c r="AY517" s="171"/>
      <c r="AZ517" s="171"/>
      <c r="BA517" s="171"/>
      <c r="BB517" s="171"/>
      <c r="BC517" s="171"/>
      <c r="BD517" s="171"/>
      <c r="BE517" s="171"/>
      <c r="BF517" s="171"/>
      <c r="BG517" s="171"/>
      <c r="BH517" s="171"/>
    </row>
    <row r="518" spans="1:60" outlineLevel="3" x14ac:dyDescent="0.2">
      <c r="A518" s="172"/>
      <c r="B518" s="173"/>
      <c r="C518" s="174" t="s">
        <v>561</v>
      </c>
      <c r="D518" s="175"/>
      <c r="E518" s="176">
        <v>6.18</v>
      </c>
      <c r="F518" s="196"/>
      <c r="G518" s="169"/>
      <c r="H518" s="169"/>
      <c r="I518" s="169"/>
      <c r="J518" s="169"/>
      <c r="K518" s="169"/>
      <c r="L518" s="169"/>
      <c r="M518" s="169"/>
      <c r="N518" s="170"/>
      <c r="O518" s="170"/>
      <c r="P518" s="170"/>
      <c r="Q518" s="170"/>
      <c r="R518" s="169"/>
      <c r="S518" s="169"/>
      <c r="T518" s="169"/>
      <c r="U518" s="169"/>
      <c r="V518" s="169"/>
      <c r="W518" s="169"/>
      <c r="X518" s="169"/>
      <c r="Y518" s="169"/>
      <c r="Z518" s="171"/>
      <c r="AA518" s="171"/>
      <c r="AB518" s="171"/>
      <c r="AC518" s="171"/>
      <c r="AD518" s="171"/>
      <c r="AE518" s="171"/>
      <c r="AF518" s="171"/>
      <c r="AG518" s="171" t="s">
        <v>148</v>
      </c>
      <c r="AH518" s="171">
        <v>0</v>
      </c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1"/>
      <c r="AT518" s="171"/>
      <c r="AU518" s="171"/>
      <c r="AV518" s="171"/>
      <c r="AW518" s="171"/>
      <c r="AX518" s="171"/>
      <c r="AY518" s="171"/>
      <c r="AZ518" s="171"/>
      <c r="BA518" s="171"/>
      <c r="BB518" s="171"/>
      <c r="BC518" s="171"/>
      <c r="BD518" s="171"/>
      <c r="BE518" s="171"/>
      <c r="BF518" s="171"/>
      <c r="BG518" s="171"/>
      <c r="BH518" s="171"/>
    </row>
    <row r="519" spans="1:60" ht="33.75" outlineLevel="1" x14ac:dyDescent="0.2">
      <c r="A519" s="162">
        <v>92</v>
      </c>
      <c r="B519" s="163" t="s">
        <v>562</v>
      </c>
      <c r="C519" s="164" t="s">
        <v>563</v>
      </c>
      <c r="D519" s="165" t="s">
        <v>375</v>
      </c>
      <c r="E519" s="166">
        <v>61.8</v>
      </c>
      <c r="F519" s="140"/>
      <c r="G519" s="167">
        <f>ROUND(E519*F519,2)</f>
        <v>0</v>
      </c>
      <c r="H519" s="168"/>
      <c r="I519" s="169">
        <f>ROUND(E519*H519,2)</f>
        <v>0</v>
      </c>
      <c r="J519" s="168"/>
      <c r="K519" s="169">
        <f>ROUND(E519*J519,2)</f>
        <v>0</v>
      </c>
      <c r="L519" s="169">
        <v>21</v>
      </c>
      <c r="M519" s="169">
        <f>G519*(1+L519/100)</f>
        <v>0</v>
      </c>
      <c r="N519" s="170">
        <v>3.2000000000000003E-4</v>
      </c>
      <c r="O519" s="170">
        <f>ROUND(E519*N519,2)</f>
        <v>0.02</v>
      </c>
      <c r="P519" s="170">
        <v>0</v>
      </c>
      <c r="Q519" s="170">
        <f>ROUND(E519*P519,2)</f>
        <v>0</v>
      </c>
      <c r="R519" s="169"/>
      <c r="S519" s="169" t="s">
        <v>143</v>
      </c>
      <c r="T519" s="169" t="s">
        <v>143</v>
      </c>
      <c r="U519" s="169">
        <v>0.23599999999999999</v>
      </c>
      <c r="V519" s="169">
        <f>ROUND(E519*U519,2)</f>
        <v>14.58</v>
      </c>
      <c r="W519" s="169"/>
      <c r="X519" s="169" t="s">
        <v>144</v>
      </c>
      <c r="Y519" s="169" t="s">
        <v>145</v>
      </c>
      <c r="Z519" s="171"/>
      <c r="AA519" s="171"/>
      <c r="AB519" s="171"/>
      <c r="AC519" s="171"/>
      <c r="AD519" s="171"/>
      <c r="AE519" s="171"/>
      <c r="AF519" s="171"/>
      <c r="AG519" s="171" t="s">
        <v>146</v>
      </c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1"/>
      <c r="AT519" s="171"/>
      <c r="AU519" s="171"/>
      <c r="AV519" s="171"/>
      <c r="AW519" s="171"/>
      <c r="AX519" s="171"/>
      <c r="AY519" s="171"/>
      <c r="AZ519" s="171"/>
      <c r="BA519" s="171"/>
      <c r="BB519" s="171"/>
      <c r="BC519" s="171"/>
      <c r="BD519" s="171"/>
      <c r="BE519" s="171"/>
      <c r="BF519" s="171"/>
      <c r="BG519" s="171"/>
      <c r="BH519" s="171"/>
    </row>
    <row r="520" spans="1:60" outlineLevel="2" x14ac:dyDescent="0.2">
      <c r="A520" s="172"/>
      <c r="B520" s="173"/>
      <c r="C520" s="174" t="s">
        <v>149</v>
      </c>
      <c r="D520" s="175"/>
      <c r="E520" s="176"/>
      <c r="F520" s="196"/>
      <c r="G520" s="169"/>
      <c r="H520" s="169"/>
      <c r="I520" s="169"/>
      <c r="J520" s="169"/>
      <c r="K520" s="169"/>
      <c r="L520" s="169"/>
      <c r="M520" s="169"/>
      <c r="N520" s="170"/>
      <c r="O520" s="170"/>
      <c r="P520" s="170"/>
      <c r="Q520" s="170"/>
      <c r="R520" s="169"/>
      <c r="S520" s="169"/>
      <c r="T520" s="169"/>
      <c r="U520" s="169"/>
      <c r="V520" s="169"/>
      <c r="W520" s="169"/>
      <c r="X520" s="169"/>
      <c r="Y520" s="169"/>
      <c r="Z520" s="171"/>
      <c r="AA520" s="171"/>
      <c r="AB520" s="171"/>
      <c r="AC520" s="171"/>
      <c r="AD520" s="171"/>
      <c r="AE520" s="171"/>
      <c r="AF520" s="171"/>
      <c r="AG520" s="171" t="s">
        <v>148</v>
      </c>
      <c r="AH520" s="171">
        <v>0</v>
      </c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71"/>
      <c r="AT520" s="171"/>
      <c r="AU520" s="171"/>
      <c r="AV520" s="171"/>
      <c r="AW520" s="171"/>
      <c r="AX520" s="171"/>
      <c r="AY520" s="171"/>
      <c r="AZ520" s="171"/>
      <c r="BA520" s="171"/>
      <c r="BB520" s="171"/>
      <c r="BC520" s="171"/>
      <c r="BD520" s="171"/>
      <c r="BE520" s="171"/>
      <c r="BF520" s="171"/>
      <c r="BG520" s="171"/>
      <c r="BH520" s="171"/>
    </row>
    <row r="521" spans="1:60" outlineLevel="3" x14ac:dyDescent="0.2">
      <c r="A521" s="172"/>
      <c r="B521" s="173"/>
      <c r="C521" s="174" t="s">
        <v>564</v>
      </c>
      <c r="D521" s="175"/>
      <c r="E521" s="176">
        <v>6.58</v>
      </c>
      <c r="F521" s="196"/>
      <c r="G521" s="169"/>
      <c r="H521" s="169"/>
      <c r="I521" s="169"/>
      <c r="J521" s="169"/>
      <c r="K521" s="169"/>
      <c r="L521" s="169"/>
      <c r="M521" s="169"/>
      <c r="N521" s="170"/>
      <c r="O521" s="170"/>
      <c r="P521" s="170"/>
      <c r="Q521" s="170"/>
      <c r="R521" s="169"/>
      <c r="S521" s="169"/>
      <c r="T521" s="169"/>
      <c r="U521" s="169"/>
      <c r="V521" s="169"/>
      <c r="W521" s="169"/>
      <c r="X521" s="169"/>
      <c r="Y521" s="169"/>
      <c r="Z521" s="171"/>
      <c r="AA521" s="171"/>
      <c r="AB521" s="171"/>
      <c r="AC521" s="171"/>
      <c r="AD521" s="171"/>
      <c r="AE521" s="171"/>
      <c r="AF521" s="171"/>
      <c r="AG521" s="171" t="s">
        <v>148</v>
      </c>
      <c r="AH521" s="171">
        <v>0</v>
      </c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171"/>
      <c r="AT521" s="171"/>
      <c r="AU521" s="171"/>
      <c r="AV521" s="171"/>
      <c r="AW521" s="171"/>
      <c r="AX521" s="171"/>
      <c r="AY521" s="171"/>
      <c r="AZ521" s="171"/>
      <c r="BA521" s="171"/>
      <c r="BB521" s="171"/>
      <c r="BC521" s="171"/>
      <c r="BD521" s="171"/>
      <c r="BE521" s="171"/>
      <c r="BF521" s="171"/>
      <c r="BG521" s="171"/>
      <c r="BH521" s="171"/>
    </row>
    <row r="522" spans="1:60" outlineLevel="3" x14ac:dyDescent="0.2">
      <c r="A522" s="172"/>
      <c r="B522" s="173"/>
      <c r="C522" s="174" t="s">
        <v>565</v>
      </c>
      <c r="D522" s="175"/>
      <c r="E522" s="176">
        <v>4.2699999999999996</v>
      </c>
      <c r="F522" s="196"/>
      <c r="G522" s="169"/>
      <c r="H522" s="169"/>
      <c r="I522" s="169"/>
      <c r="J522" s="169"/>
      <c r="K522" s="169"/>
      <c r="L522" s="169"/>
      <c r="M522" s="169"/>
      <c r="N522" s="170"/>
      <c r="O522" s="170"/>
      <c r="P522" s="170"/>
      <c r="Q522" s="170"/>
      <c r="R522" s="169"/>
      <c r="S522" s="169"/>
      <c r="T522" s="169"/>
      <c r="U522" s="169"/>
      <c r="V522" s="169"/>
      <c r="W522" s="169"/>
      <c r="X522" s="169"/>
      <c r="Y522" s="169"/>
      <c r="Z522" s="171"/>
      <c r="AA522" s="171"/>
      <c r="AB522" s="171"/>
      <c r="AC522" s="171"/>
      <c r="AD522" s="171"/>
      <c r="AE522" s="171"/>
      <c r="AF522" s="171"/>
      <c r="AG522" s="171" t="s">
        <v>148</v>
      </c>
      <c r="AH522" s="171">
        <v>0</v>
      </c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171"/>
      <c r="AT522" s="171"/>
      <c r="AU522" s="171"/>
      <c r="AV522" s="171"/>
      <c r="AW522" s="171"/>
      <c r="AX522" s="171"/>
      <c r="AY522" s="171"/>
      <c r="AZ522" s="171"/>
      <c r="BA522" s="171"/>
      <c r="BB522" s="171"/>
      <c r="BC522" s="171"/>
      <c r="BD522" s="171"/>
      <c r="BE522" s="171"/>
      <c r="BF522" s="171"/>
      <c r="BG522" s="171"/>
      <c r="BH522" s="171"/>
    </row>
    <row r="523" spans="1:60" outlineLevel="3" x14ac:dyDescent="0.2">
      <c r="A523" s="172"/>
      <c r="B523" s="173"/>
      <c r="C523" s="174" t="s">
        <v>566</v>
      </c>
      <c r="D523" s="175"/>
      <c r="E523" s="176">
        <v>6.33</v>
      </c>
      <c r="F523" s="196"/>
      <c r="G523" s="169"/>
      <c r="H523" s="169"/>
      <c r="I523" s="169"/>
      <c r="J523" s="169"/>
      <c r="K523" s="169"/>
      <c r="L523" s="169"/>
      <c r="M523" s="169"/>
      <c r="N523" s="170"/>
      <c r="O523" s="170"/>
      <c r="P523" s="170"/>
      <c r="Q523" s="170"/>
      <c r="R523" s="169"/>
      <c r="S523" s="169"/>
      <c r="T523" s="169"/>
      <c r="U523" s="169"/>
      <c r="V523" s="169"/>
      <c r="W523" s="169"/>
      <c r="X523" s="169"/>
      <c r="Y523" s="169"/>
      <c r="Z523" s="171"/>
      <c r="AA523" s="171"/>
      <c r="AB523" s="171"/>
      <c r="AC523" s="171"/>
      <c r="AD523" s="171"/>
      <c r="AE523" s="171"/>
      <c r="AF523" s="171"/>
      <c r="AG523" s="171" t="s">
        <v>148</v>
      </c>
      <c r="AH523" s="171">
        <v>0</v>
      </c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171"/>
      <c r="AT523" s="171"/>
      <c r="AU523" s="171"/>
      <c r="AV523" s="171"/>
      <c r="AW523" s="171"/>
      <c r="AX523" s="171"/>
      <c r="AY523" s="171"/>
      <c r="AZ523" s="171"/>
      <c r="BA523" s="171"/>
      <c r="BB523" s="171"/>
      <c r="BC523" s="171"/>
      <c r="BD523" s="171"/>
      <c r="BE523" s="171"/>
      <c r="BF523" s="171"/>
      <c r="BG523" s="171"/>
      <c r="BH523" s="171"/>
    </row>
    <row r="524" spans="1:60" outlineLevel="3" x14ac:dyDescent="0.2">
      <c r="A524" s="172"/>
      <c r="B524" s="173"/>
      <c r="C524" s="174" t="s">
        <v>567</v>
      </c>
      <c r="D524" s="175"/>
      <c r="E524" s="176">
        <v>2.27</v>
      </c>
      <c r="F524" s="196"/>
      <c r="G524" s="169"/>
      <c r="H524" s="169"/>
      <c r="I524" s="169"/>
      <c r="J524" s="169"/>
      <c r="K524" s="169"/>
      <c r="L524" s="169"/>
      <c r="M524" s="169"/>
      <c r="N524" s="170"/>
      <c r="O524" s="170"/>
      <c r="P524" s="170"/>
      <c r="Q524" s="170"/>
      <c r="R524" s="169"/>
      <c r="S524" s="169"/>
      <c r="T524" s="169"/>
      <c r="U524" s="169"/>
      <c r="V524" s="169"/>
      <c r="W524" s="169"/>
      <c r="X524" s="169"/>
      <c r="Y524" s="169"/>
      <c r="Z524" s="171"/>
      <c r="AA524" s="171"/>
      <c r="AB524" s="171"/>
      <c r="AC524" s="171"/>
      <c r="AD524" s="171"/>
      <c r="AE524" s="171"/>
      <c r="AF524" s="171"/>
      <c r="AG524" s="171" t="s">
        <v>148</v>
      </c>
      <c r="AH524" s="171">
        <v>0</v>
      </c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171"/>
      <c r="AT524" s="171"/>
      <c r="AU524" s="171"/>
      <c r="AV524" s="171"/>
      <c r="AW524" s="171"/>
      <c r="AX524" s="171"/>
      <c r="AY524" s="171"/>
      <c r="AZ524" s="171"/>
      <c r="BA524" s="171"/>
      <c r="BB524" s="171"/>
      <c r="BC524" s="171"/>
      <c r="BD524" s="171"/>
      <c r="BE524" s="171"/>
      <c r="BF524" s="171"/>
      <c r="BG524" s="171"/>
      <c r="BH524" s="171"/>
    </row>
    <row r="525" spans="1:60" outlineLevel="3" x14ac:dyDescent="0.2">
      <c r="A525" s="172"/>
      <c r="B525" s="173"/>
      <c r="C525" s="174" t="s">
        <v>568</v>
      </c>
      <c r="D525" s="175"/>
      <c r="E525" s="176">
        <v>1.2</v>
      </c>
      <c r="F525" s="196"/>
      <c r="G525" s="169"/>
      <c r="H525" s="169"/>
      <c r="I525" s="169"/>
      <c r="J525" s="169"/>
      <c r="K525" s="169"/>
      <c r="L525" s="169"/>
      <c r="M525" s="169"/>
      <c r="N525" s="170"/>
      <c r="O525" s="170"/>
      <c r="P525" s="170"/>
      <c r="Q525" s="170"/>
      <c r="R525" s="169"/>
      <c r="S525" s="169"/>
      <c r="T525" s="169"/>
      <c r="U525" s="169"/>
      <c r="V525" s="169"/>
      <c r="W525" s="169"/>
      <c r="X525" s="169"/>
      <c r="Y525" s="169"/>
      <c r="Z525" s="171"/>
      <c r="AA525" s="171"/>
      <c r="AB525" s="171"/>
      <c r="AC525" s="171"/>
      <c r="AD525" s="171"/>
      <c r="AE525" s="171"/>
      <c r="AF525" s="171"/>
      <c r="AG525" s="171" t="s">
        <v>148</v>
      </c>
      <c r="AH525" s="171">
        <v>0</v>
      </c>
      <c r="AI525" s="171"/>
      <c r="AJ525" s="171"/>
      <c r="AK525" s="171"/>
      <c r="AL525" s="171"/>
      <c r="AM525" s="171"/>
      <c r="AN525" s="171"/>
      <c r="AO525" s="171"/>
      <c r="AP525" s="171"/>
      <c r="AQ525" s="171"/>
      <c r="AR525" s="171"/>
      <c r="AS525" s="171"/>
      <c r="AT525" s="171"/>
      <c r="AU525" s="171"/>
      <c r="AV525" s="171"/>
      <c r="AW525" s="171"/>
      <c r="AX525" s="171"/>
      <c r="AY525" s="171"/>
      <c r="AZ525" s="171"/>
      <c r="BA525" s="171"/>
      <c r="BB525" s="171"/>
      <c r="BC525" s="171"/>
      <c r="BD525" s="171"/>
      <c r="BE525" s="171"/>
      <c r="BF525" s="171"/>
      <c r="BG525" s="171"/>
      <c r="BH525" s="171"/>
    </row>
    <row r="526" spans="1:60" outlineLevel="3" x14ac:dyDescent="0.2">
      <c r="A526" s="172"/>
      <c r="B526" s="173"/>
      <c r="C526" s="174" t="s">
        <v>151</v>
      </c>
      <c r="D526" s="175"/>
      <c r="E526" s="176"/>
      <c r="F526" s="196"/>
      <c r="G526" s="169"/>
      <c r="H526" s="169"/>
      <c r="I526" s="169"/>
      <c r="J526" s="169"/>
      <c r="K526" s="169"/>
      <c r="L526" s="169"/>
      <c r="M526" s="169"/>
      <c r="N526" s="170"/>
      <c r="O526" s="170"/>
      <c r="P526" s="170"/>
      <c r="Q526" s="170"/>
      <c r="R526" s="169"/>
      <c r="S526" s="169"/>
      <c r="T526" s="169"/>
      <c r="U526" s="169"/>
      <c r="V526" s="169"/>
      <c r="W526" s="169"/>
      <c r="X526" s="169"/>
      <c r="Y526" s="169"/>
      <c r="Z526" s="171"/>
      <c r="AA526" s="171"/>
      <c r="AB526" s="171"/>
      <c r="AC526" s="171"/>
      <c r="AD526" s="171"/>
      <c r="AE526" s="171"/>
      <c r="AF526" s="171"/>
      <c r="AG526" s="171" t="s">
        <v>148</v>
      </c>
      <c r="AH526" s="171">
        <v>0</v>
      </c>
      <c r="AI526" s="171"/>
      <c r="AJ526" s="171"/>
      <c r="AK526" s="171"/>
      <c r="AL526" s="171"/>
      <c r="AM526" s="171"/>
      <c r="AN526" s="171"/>
      <c r="AO526" s="171"/>
      <c r="AP526" s="171"/>
      <c r="AQ526" s="171"/>
      <c r="AR526" s="171"/>
      <c r="AS526" s="171"/>
      <c r="AT526" s="171"/>
      <c r="AU526" s="171"/>
      <c r="AV526" s="171"/>
      <c r="AW526" s="171"/>
      <c r="AX526" s="171"/>
      <c r="AY526" s="171"/>
      <c r="AZ526" s="171"/>
      <c r="BA526" s="171"/>
      <c r="BB526" s="171"/>
      <c r="BC526" s="171"/>
      <c r="BD526" s="171"/>
      <c r="BE526" s="171"/>
      <c r="BF526" s="171"/>
      <c r="BG526" s="171"/>
      <c r="BH526" s="171"/>
    </row>
    <row r="527" spans="1:60" outlineLevel="3" x14ac:dyDescent="0.2">
      <c r="A527" s="172"/>
      <c r="B527" s="173"/>
      <c r="C527" s="174" t="s">
        <v>569</v>
      </c>
      <c r="D527" s="175"/>
      <c r="E527" s="176">
        <v>6.56</v>
      </c>
      <c r="F527" s="196"/>
      <c r="G527" s="169"/>
      <c r="H527" s="169"/>
      <c r="I527" s="169"/>
      <c r="J527" s="169"/>
      <c r="K527" s="169"/>
      <c r="L527" s="169"/>
      <c r="M527" s="169"/>
      <c r="N527" s="170"/>
      <c r="O527" s="170"/>
      <c r="P527" s="170"/>
      <c r="Q527" s="170"/>
      <c r="R527" s="169"/>
      <c r="S527" s="169"/>
      <c r="T527" s="169"/>
      <c r="U527" s="169"/>
      <c r="V527" s="169"/>
      <c r="W527" s="169"/>
      <c r="X527" s="169"/>
      <c r="Y527" s="169"/>
      <c r="Z527" s="171"/>
      <c r="AA527" s="171"/>
      <c r="AB527" s="171"/>
      <c r="AC527" s="171"/>
      <c r="AD527" s="171"/>
      <c r="AE527" s="171"/>
      <c r="AF527" s="171"/>
      <c r="AG527" s="171" t="s">
        <v>148</v>
      </c>
      <c r="AH527" s="171">
        <v>0</v>
      </c>
      <c r="AI527" s="171"/>
      <c r="AJ527" s="171"/>
      <c r="AK527" s="171"/>
      <c r="AL527" s="171"/>
      <c r="AM527" s="171"/>
      <c r="AN527" s="171"/>
      <c r="AO527" s="171"/>
      <c r="AP527" s="171"/>
      <c r="AQ527" s="171"/>
      <c r="AR527" s="171"/>
      <c r="AS527" s="171"/>
      <c r="AT527" s="171"/>
      <c r="AU527" s="171"/>
      <c r="AV527" s="171"/>
      <c r="AW527" s="171"/>
      <c r="AX527" s="171"/>
      <c r="AY527" s="171"/>
      <c r="AZ527" s="171"/>
      <c r="BA527" s="171"/>
      <c r="BB527" s="171"/>
      <c r="BC527" s="171"/>
      <c r="BD527" s="171"/>
      <c r="BE527" s="171"/>
      <c r="BF527" s="171"/>
      <c r="BG527" s="171"/>
      <c r="BH527" s="171"/>
    </row>
    <row r="528" spans="1:60" outlineLevel="3" x14ac:dyDescent="0.2">
      <c r="A528" s="172"/>
      <c r="B528" s="173"/>
      <c r="C528" s="174" t="s">
        <v>565</v>
      </c>
      <c r="D528" s="175"/>
      <c r="E528" s="176">
        <v>4.2699999999999996</v>
      </c>
      <c r="F528" s="196"/>
      <c r="G528" s="169"/>
      <c r="H528" s="169"/>
      <c r="I528" s="169"/>
      <c r="J528" s="169"/>
      <c r="K528" s="169"/>
      <c r="L528" s="169"/>
      <c r="M528" s="169"/>
      <c r="N528" s="170"/>
      <c r="O528" s="170"/>
      <c r="P528" s="170"/>
      <c r="Q528" s="170"/>
      <c r="R528" s="169"/>
      <c r="S528" s="169"/>
      <c r="T528" s="169"/>
      <c r="U528" s="169"/>
      <c r="V528" s="169"/>
      <c r="W528" s="169"/>
      <c r="X528" s="169"/>
      <c r="Y528" s="169"/>
      <c r="Z528" s="171"/>
      <c r="AA528" s="171"/>
      <c r="AB528" s="171"/>
      <c r="AC528" s="171"/>
      <c r="AD528" s="171"/>
      <c r="AE528" s="171"/>
      <c r="AF528" s="171"/>
      <c r="AG528" s="171" t="s">
        <v>148</v>
      </c>
      <c r="AH528" s="171">
        <v>0</v>
      </c>
      <c r="AI528" s="171"/>
      <c r="AJ528" s="171"/>
      <c r="AK528" s="171"/>
      <c r="AL528" s="171"/>
      <c r="AM528" s="171"/>
      <c r="AN528" s="171"/>
      <c r="AO528" s="171"/>
      <c r="AP528" s="171"/>
      <c r="AQ528" s="171"/>
      <c r="AR528" s="171"/>
      <c r="AS528" s="171"/>
      <c r="AT528" s="171"/>
      <c r="AU528" s="171"/>
      <c r="AV528" s="171"/>
      <c r="AW528" s="171"/>
      <c r="AX528" s="171"/>
      <c r="AY528" s="171"/>
      <c r="AZ528" s="171"/>
      <c r="BA528" s="171"/>
      <c r="BB528" s="171"/>
      <c r="BC528" s="171"/>
      <c r="BD528" s="171"/>
      <c r="BE528" s="171"/>
      <c r="BF528" s="171"/>
      <c r="BG528" s="171"/>
      <c r="BH528" s="171"/>
    </row>
    <row r="529" spans="1:60" outlineLevel="3" x14ac:dyDescent="0.2">
      <c r="A529" s="172"/>
      <c r="B529" s="173"/>
      <c r="C529" s="174" t="s">
        <v>570</v>
      </c>
      <c r="D529" s="175"/>
      <c r="E529" s="176">
        <v>6.08</v>
      </c>
      <c r="F529" s="196"/>
      <c r="G529" s="169"/>
      <c r="H529" s="169"/>
      <c r="I529" s="169"/>
      <c r="J529" s="169"/>
      <c r="K529" s="169"/>
      <c r="L529" s="169"/>
      <c r="M529" s="169"/>
      <c r="N529" s="170"/>
      <c r="O529" s="170"/>
      <c r="P529" s="170"/>
      <c r="Q529" s="170"/>
      <c r="R529" s="169"/>
      <c r="S529" s="169"/>
      <c r="T529" s="169"/>
      <c r="U529" s="169"/>
      <c r="V529" s="169"/>
      <c r="W529" s="169"/>
      <c r="X529" s="169"/>
      <c r="Y529" s="169"/>
      <c r="Z529" s="171"/>
      <c r="AA529" s="171"/>
      <c r="AB529" s="171"/>
      <c r="AC529" s="171"/>
      <c r="AD529" s="171"/>
      <c r="AE529" s="171"/>
      <c r="AF529" s="171"/>
      <c r="AG529" s="171" t="s">
        <v>148</v>
      </c>
      <c r="AH529" s="171">
        <v>0</v>
      </c>
      <c r="AI529" s="171"/>
      <c r="AJ529" s="171"/>
      <c r="AK529" s="171"/>
      <c r="AL529" s="171"/>
      <c r="AM529" s="171"/>
      <c r="AN529" s="171"/>
      <c r="AO529" s="171"/>
      <c r="AP529" s="171"/>
      <c r="AQ529" s="171"/>
      <c r="AR529" s="171"/>
      <c r="AS529" s="171"/>
      <c r="AT529" s="171"/>
      <c r="AU529" s="171"/>
      <c r="AV529" s="171"/>
      <c r="AW529" s="171"/>
      <c r="AX529" s="171"/>
      <c r="AY529" s="171"/>
      <c r="AZ529" s="171"/>
      <c r="BA529" s="171"/>
      <c r="BB529" s="171"/>
      <c r="BC529" s="171"/>
      <c r="BD529" s="171"/>
      <c r="BE529" s="171"/>
      <c r="BF529" s="171"/>
      <c r="BG529" s="171"/>
      <c r="BH529" s="171"/>
    </row>
    <row r="530" spans="1:60" outlineLevel="3" x14ac:dyDescent="0.2">
      <c r="A530" s="172"/>
      <c r="B530" s="173"/>
      <c r="C530" s="174" t="s">
        <v>571</v>
      </c>
      <c r="D530" s="175"/>
      <c r="E530" s="176">
        <v>2.29</v>
      </c>
      <c r="F530" s="196"/>
      <c r="G530" s="169"/>
      <c r="H530" s="169"/>
      <c r="I530" s="169"/>
      <c r="J530" s="169"/>
      <c r="K530" s="169"/>
      <c r="L530" s="169"/>
      <c r="M530" s="169"/>
      <c r="N530" s="170"/>
      <c r="O530" s="170"/>
      <c r="P530" s="170"/>
      <c r="Q530" s="170"/>
      <c r="R530" s="169"/>
      <c r="S530" s="169"/>
      <c r="T530" s="169"/>
      <c r="U530" s="169"/>
      <c r="V530" s="169"/>
      <c r="W530" s="169"/>
      <c r="X530" s="169"/>
      <c r="Y530" s="169"/>
      <c r="Z530" s="171"/>
      <c r="AA530" s="171"/>
      <c r="AB530" s="171"/>
      <c r="AC530" s="171"/>
      <c r="AD530" s="171"/>
      <c r="AE530" s="171"/>
      <c r="AF530" s="171"/>
      <c r="AG530" s="171" t="s">
        <v>148</v>
      </c>
      <c r="AH530" s="171">
        <v>0</v>
      </c>
      <c r="AI530" s="171"/>
      <c r="AJ530" s="171"/>
      <c r="AK530" s="171"/>
      <c r="AL530" s="171"/>
      <c r="AM530" s="171"/>
      <c r="AN530" s="171"/>
      <c r="AO530" s="171"/>
      <c r="AP530" s="171"/>
      <c r="AQ530" s="171"/>
      <c r="AR530" s="171"/>
      <c r="AS530" s="171"/>
      <c r="AT530" s="171"/>
      <c r="AU530" s="171"/>
      <c r="AV530" s="171"/>
      <c r="AW530" s="171"/>
      <c r="AX530" s="171"/>
      <c r="AY530" s="171"/>
      <c r="AZ530" s="171"/>
      <c r="BA530" s="171"/>
      <c r="BB530" s="171"/>
      <c r="BC530" s="171"/>
      <c r="BD530" s="171"/>
      <c r="BE530" s="171"/>
      <c r="BF530" s="171"/>
      <c r="BG530" s="171"/>
      <c r="BH530" s="171"/>
    </row>
    <row r="531" spans="1:60" outlineLevel="3" x14ac:dyDescent="0.2">
      <c r="A531" s="172"/>
      <c r="B531" s="173"/>
      <c r="C531" s="174" t="s">
        <v>572</v>
      </c>
      <c r="D531" s="175"/>
      <c r="E531" s="176">
        <v>1.39</v>
      </c>
      <c r="F531" s="196"/>
      <c r="G531" s="169"/>
      <c r="H531" s="169"/>
      <c r="I531" s="169"/>
      <c r="J531" s="169"/>
      <c r="K531" s="169"/>
      <c r="L531" s="169"/>
      <c r="M531" s="169"/>
      <c r="N531" s="170"/>
      <c r="O531" s="170"/>
      <c r="P531" s="170"/>
      <c r="Q531" s="170"/>
      <c r="R531" s="169"/>
      <c r="S531" s="169"/>
      <c r="T531" s="169"/>
      <c r="U531" s="169"/>
      <c r="V531" s="169"/>
      <c r="W531" s="169"/>
      <c r="X531" s="169"/>
      <c r="Y531" s="169"/>
      <c r="Z531" s="171"/>
      <c r="AA531" s="171"/>
      <c r="AB531" s="171"/>
      <c r="AC531" s="171"/>
      <c r="AD531" s="171"/>
      <c r="AE531" s="171"/>
      <c r="AF531" s="171"/>
      <c r="AG531" s="171" t="s">
        <v>148</v>
      </c>
      <c r="AH531" s="171">
        <v>0</v>
      </c>
      <c r="AI531" s="171"/>
      <c r="AJ531" s="171"/>
      <c r="AK531" s="171"/>
      <c r="AL531" s="171"/>
      <c r="AM531" s="171"/>
      <c r="AN531" s="171"/>
      <c r="AO531" s="171"/>
      <c r="AP531" s="171"/>
      <c r="AQ531" s="171"/>
      <c r="AR531" s="171"/>
      <c r="AS531" s="171"/>
      <c r="AT531" s="171"/>
      <c r="AU531" s="171"/>
      <c r="AV531" s="171"/>
      <c r="AW531" s="171"/>
      <c r="AX531" s="171"/>
      <c r="AY531" s="171"/>
      <c r="AZ531" s="171"/>
      <c r="BA531" s="171"/>
      <c r="BB531" s="171"/>
      <c r="BC531" s="171"/>
      <c r="BD531" s="171"/>
      <c r="BE531" s="171"/>
      <c r="BF531" s="171"/>
      <c r="BG531" s="171"/>
      <c r="BH531" s="171"/>
    </row>
    <row r="532" spans="1:60" outlineLevel="3" x14ac:dyDescent="0.2">
      <c r="A532" s="172"/>
      <c r="B532" s="173"/>
      <c r="C532" s="174" t="s">
        <v>152</v>
      </c>
      <c r="D532" s="175"/>
      <c r="E532" s="176"/>
      <c r="F532" s="196"/>
      <c r="G532" s="169"/>
      <c r="H532" s="169"/>
      <c r="I532" s="169"/>
      <c r="J532" s="169"/>
      <c r="K532" s="169"/>
      <c r="L532" s="169"/>
      <c r="M532" s="169"/>
      <c r="N532" s="170"/>
      <c r="O532" s="170"/>
      <c r="P532" s="170"/>
      <c r="Q532" s="170"/>
      <c r="R532" s="169"/>
      <c r="S532" s="169"/>
      <c r="T532" s="169"/>
      <c r="U532" s="169"/>
      <c r="V532" s="169"/>
      <c r="W532" s="169"/>
      <c r="X532" s="169"/>
      <c r="Y532" s="169"/>
      <c r="Z532" s="171"/>
      <c r="AA532" s="171"/>
      <c r="AB532" s="171"/>
      <c r="AC532" s="171"/>
      <c r="AD532" s="171"/>
      <c r="AE532" s="171"/>
      <c r="AF532" s="171"/>
      <c r="AG532" s="171" t="s">
        <v>148</v>
      </c>
      <c r="AH532" s="171">
        <v>0</v>
      </c>
      <c r="AI532" s="171"/>
      <c r="AJ532" s="171"/>
      <c r="AK532" s="171"/>
      <c r="AL532" s="171"/>
      <c r="AM532" s="171"/>
      <c r="AN532" s="171"/>
      <c r="AO532" s="171"/>
      <c r="AP532" s="171"/>
      <c r="AQ532" s="171"/>
      <c r="AR532" s="171"/>
      <c r="AS532" s="171"/>
      <c r="AT532" s="171"/>
      <c r="AU532" s="171"/>
      <c r="AV532" s="171"/>
      <c r="AW532" s="171"/>
      <c r="AX532" s="171"/>
      <c r="AY532" s="171"/>
      <c r="AZ532" s="171"/>
      <c r="BA532" s="171"/>
      <c r="BB532" s="171"/>
      <c r="BC532" s="171"/>
      <c r="BD532" s="171"/>
      <c r="BE532" s="171"/>
      <c r="BF532" s="171"/>
      <c r="BG532" s="171"/>
      <c r="BH532" s="171"/>
    </row>
    <row r="533" spans="1:60" outlineLevel="3" x14ac:dyDescent="0.2">
      <c r="A533" s="172"/>
      <c r="B533" s="173"/>
      <c r="C533" s="174" t="s">
        <v>569</v>
      </c>
      <c r="D533" s="175"/>
      <c r="E533" s="176">
        <v>6.56</v>
      </c>
      <c r="F533" s="196"/>
      <c r="G533" s="169"/>
      <c r="H533" s="169"/>
      <c r="I533" s="169"/>
      <c r="J533" s="169"/>
      <c r="K533" s="169"/>
      <c r="L533" s="169"/>
      <c r="M533" s="169"/>
      <c r="N533" s="170"/>
      <c r="O533" s="170"/>
      <c r="P533" s="170"/>
      <c r="Q533" s="170"/>
      <c r="R533" s="169"/>
      <c r="S533" s="169"/>
      <c r="T533" s="169"/>
      <c r="U533" s="169"/>
      <c r="V533" s="169"/>
      <c r="W533" s="169"/>
      <c r="X533" s="169"/>
      <c r="Y533" s="169"/>
      <c r="Z533" s="171"/>
      <c r="AA533" s="171"/>
      <c r="AB533" s="171"/>
      <c r="AC533" s="171"/>
      <c r="AD533" s="171"/>
      <c r="AE533" s="171"/>
      <c r="AF533" s="171"/>
      <c r="AG533" s="171" t="s">
        <v>148</v>
      </c>
      <c r="AH533" s="171">
        <v>0</v>
      </c>
      <c r="AI533" s="171"/>
      <c r="AJ533" s="171"/>
      <c r="AK533" s="171"/>
      <c r="AL533" s="171"/>
      <c r="AM533" s="171"/>
      <c r="AN533" s="171"/>
      <c r="AO533" s="171"/>
      <c r="AP533" s="171"/>
      <c r="AQ533" s="171"/>
      <c r="AR533" s="171"/>
      <c r="AS533" s="171"/>
      <c r="AT533" s="171"/>
      <c r="AU533" s="171"/>
      <c r="AV533" s="171"/>
      <c r="AW533" s="171"/>
      <c r="AX533" s="171"/>
      <c r="AY533" s="171"/>
      <c r="AZ533" s="171"/>
      <c r="BA533" s="171"/>
      <c r="BB533" s="171"/>
      <c r="BC533" s="171"/>
      <c r="BD533" s="171"/>
      <c r="BE533" s="171"/>
      <c r="BF533" s="171"/>
      <c r="BG533" s="171"/>
      <c r="BH533" s="171"/>
    </row>
    <row r="534" spans="1:60" outlineLevel="3" x14ac:dyDescent="0.2">
      <c r="A534" s="172"/>
      <c r="B534" s="173"/>
      <c r="C534" s="174" t="s">
        <v>573</v>
      </c>
      <c r="D534" s="175"/>
      <c r="E534" s="176">
        <v>4.29</v>
      </c>
      <c r="F534" s="196"/>
      <c r="G534" s="169"/>
      <c r="H534" s="169"/>
      <c r="I534" s="169"/>
      <c r="J534" s="169"/>
      <c r="K534" s="169"/>
      <c r="L534" s="169"/>
      <c r="M534" s="169"/>
      <c r="N534" s="170"/>
      <c r="O534" s="170"/>
      <c r="P534" s="170"/>
      <c r="Q534" s="170"/>
      <c r="R534" s="169"/>
      <c r="S534" s="169"/>
      <c r="T534" s="169"/>
      <c r="U534" s="169"/>
      <c r="V534" s="169"/>
      <c r="W534" s="169"/>
      <c r="X534" s="169"/>
      <c r="Y534" s="169"/>
      <c r="Z534" s="171"/>
      <c r="AA534" s="171"/>
      <c r="AB534" s="171"/>
      <c r="AC534" s="171"/>
      <c r="AD534" s="171"/>
      <c r="AE534" s="171"/>
      <c r="AF534" s="171"/>
      <c r="AG534" s="171" t="s">
        <v>148</v>
      </c>
      <c r="AH534" s="171">
        <v>0</v>
      </c>
      <c r="AI534" s="171"/>
      <c r="AJ534" s="171"/>
      <c r="AK534" s="171"/>
      <c r="AL534" s="171"/>
      <c r="AM534" s="171"/>
      <c r="AN534" s="171"/>
      <c r="AO534" s="171"/>
      <c r="AP534" s="171"/>
      <c r="AQ534" s="171"/>
      <c r="AR534" s="171"/>
      <c r="AS534" s="171"/>
      <c r="AT534" s="171"/>
      <c r="AU534" s="171"/>
      <c r="AV534" s="171"/>
      <c r="AW534" s="171"/>
      <c r="AX534" s="171"/>
      <c r="AY534" s="171"/>
      <c r="AZ534" s="171"/>
      <c r="BA534" s="171"/>
      <c r="BB534" s="171"/>
      <c r="BC534" s="171"/>
      <c r="BD534" s="171"/>
      <c r="BE534" s="171"/>
      <c r="BF534" s="171"/>
      <c r="BG534" s="171"/>
      <c r="BH534" s="171"/>
    </row>
    <row r="535" spans="1:60" outlineLevel="3" x14ac:dyDescent="0.2">
      <c r="A535" s="172"/>
      <c r="B535" s="173"/>
      <c r="C535" s="174" t="s">
        <v>574</v>
      </c>
      <c r="D535" s="175"/>
      <c r="E535" s="176">
        <v>5.87</v>
      </c>
      <c r="F535" s="196"/>
      <c r="G535" s="169"/>
      <c r="H535" s="169"/>
      <c r="I535" s="169"/>
      <c r="J535" s="169"/>
      <c r="K535" s="169"/>
      <c r="L535" s="169"/>
      <c r="M535" s="169"/>
      <c r="N535" s="170"/>
      <c r="O535" s="170"/>
      <c r="P535" s="170"/>
      <c r="Q535" s="170"/>
      <c r="R535" s="169"/>
      <c r="S535" s="169"/>
      <c r="T535" s="169"/>
      <c r="U535" s="169"/>
      <c r="V535" s="169"/>
      <c r="W535" s="169"/>
      <c r="X535" s="169"/>
      <c r="Y535" s="169"/>
      <c r="Z535" s="171"/>
      <c r="AA535" s="171"/>
      <c r="AB535" s="171"/>
      <c r="AC535" s="171"/>
      <c r="AD535" s="171"/>
      <c r="AE535" s="171"/>
      <c r="AF535" s="171"/>
      <c r="AG535" s="171" t="s">
        <v>148</v>
      </c>
      <c r="AH535" s="171">
        <v>0</v>
      </c>
      <c r="AI535" s="171"/>
      <c r="AJ535" s="171"/>
      <c r="AK535" s="171"/>
      <c r="AL535" s="171"/>
      <c r="AM535" s="171"/>
      <c r="AN535" s="171"/>
      <c r="AO535" s="171"/>
      <c r="AP535" s="171"/>
      <c r="AQ535" s="171"/>
      <c r="AR535" s="171"/>
      <c r="AS535" s="171"/>
      <c r="AT535" s="171"/>
      <c r="AU535" s="171"/>
      <c r="AV535" s="171"/>
      <c r="AW535" s="171"/>
      <c r="AX535" s="171"/>
      <c r="AY535" s="171"/>
      <c r="AZ535" s="171"/>
      <c r="BA535" s="171"/>
      <c r="BB535" s="171"/>
      <c r="BC535" s="171"/>
      <c r="BD535" s="171"/>
      <c r="BE535" s="171"/>
      <c r="BF535" s="171"/>
      <c r="BG535" s="171"/>
      <c r="BH535" s="171"/>
    </row>
    <row r="536" spans="1:60" outlineLevel="3" x14ac:dyDescent="0.2">
      <c r="A536" s="172"/>
      <c r="B536" s="173"/>
      <c r="C536" s="174" t="s">
        <v>575</v>
      </c>
      <c r="D536" s="175"/>
      <c r="E536" s="176">
        <v>2.5499999999999998</v>
      </c>
      <c r="F536" s="196"/>
      <c r="G536" s="169"/>
      <c r="H536" s="169"/>
      <c r="I536" s="169"/>
      <c r="J536" s="169"/>
      <c r="K536" s="169"/>
      <c r="L536" s="169"/>
      <c r="M536" s="169"/>
      <c r="N536" s="170"/>
      <c r="O536" s="170"/>
      <c r="P536" s="170"/>
      <c r="Q536" s="170"/>
      <c r="R536" s="169"/>
      <c r="S536" s="169"/>
      <c r="T536" s="169"/>
      <c r="U536" s="169"/>
      <c r="V536" s="169"/>
      <c r="W536" s="169"/>
      <c r="X536" s="169"/>
      <c r="Y536" s="169"/>
      <c r="Z536" s="171"/>
      <c r="AA536" s="171"/>
      <c r="AB536" s="171"/>
      <c r="AC536" s="171"/>
      <c r="AD536" s="171"/>
      <c r="AE536" s="171"/>
      <c r="AF536" s="171"/>
      <c r="AG536" s="171" t="s">
        <v>148</v>
      </c>
      <c r="AH536" s="171">
        <v>0</v>
      </c>
      <c r="AI536" s="171"/>
      <c r="AJ536" s="171"/>
      <c r="AK536" s="171"/>
      <c r="AL536" s="171"/>
      <c r="AM536" s="171"/>
      <c r="AN536" s="171"/>
      <c r="AO536" s="171"/>
      <c r="AP536" s="171"/>
      <c r="AQ536" s="171"/>
      <c r="AR536" s="171"/>
      <c r="AS536" s="171"/>
      <c r="AT536" s="171"/>
      <c r="AU536" s="171"/>
      <c r="AV536" s="171"/>
      <c r="AW536" s="171"/>
      <c r="AX536" s="171"/>
      <c r="AY536" s="171"/>
      <c r="AZ536" s="171"/>
      <c r="BA536" s="171"/>
      <c r="BB536" s="171"/>
      <c r="BC536" s="171"/>
      <c r="BD536" s="171"/>
      <c r="BE536" s="171"/>
      <c r="BF536" s="171"/>
      <c r="BG536" s="171"/>
      <c r="BH536" s="171"/>
    </row>
    <row r="537" spans="1:60" outlineLevel="3" x14ac:dyDescent="0.2">
      <c r="A537" s="172"/>
      <c r="B537" s="173"/>
      <c r="C537" s="174" t="s">
        <v>576</v>
      </c>
      <c r="D537" s="175"/>
      <c r="E537" s="176">
        <v>1.29</v>
      </c>
      <c r="F537" s="196"/>
      <c r="G537" s="169"/>
      <c r="H537" s="169"/>
      <c r="I537" s="169"/>
      <c r="J537" s="169"/>
      <c r="K537" s="169"/>
      <c r="L537" s="169"/>
      <c r="M537" s="169"/>
      <c r="N537" s="170"/>
      <c r="O537" s="170"/>
      <c r="P537" s="170"/>
      <c r="Q537" s="170"/>
      <c r="R537" s="169"/>
      <c r="S537" s="169"/>
      <c r="T537" s="169"/>
      <c r="U537" s="169"/>
      <c r="V537" s="169"/>
      <c r="W537" s="169"/>
      <c r="X537" s="169"/>
      <c r="Y537" s="169"/>
      <c r="Z537" s="171"/>
      <c r="AA537" s="171"/>
      <c r="AB537" s="171"/>
      <c r="AC537" s="171"/>
      <c r="AD537" s="171"/>
      <c r="AE537" s="171"/>
      <c r="AF537" s="171"/>
      <c r="AG537" s="171" t="s">
        <v>148</v>
      </c>
      <c r="AH537" s="171">
        <v>0</v>
      </c>
      <c r="AI537" s="171"/>
      <c r="AJ537" s="171"/>
      <c r="AK537" s="171"/>
      <c r="AL537" s="171"/>
      <c r="AM537" s="171"/>
      <c r="AN537" s="171"/>
      <c r="AO537" s="171"/>
      <c r="AP537" s="171"/>
      <c r="AQ537" s="171"/>
      <c r="AR537" s="171"/>
      <c r="AS537" s="171"/>
      <c r="AT537" s="171"/>
      <c r="AU537" s="171"/>
      <c r="AV537" s="171"/>
      <c r="AW537" s="171"/>
      <c r="AX537" s="171"/>
      <c r="AY537" s="171"/>
      <c r="AZ537" s="171"/>
      <c r="BA537" s="171"/>
      <c r="BB537" s="171"/>
      <c r="BC537" s="171"/>
      <c r="BD537" s="171"/>
      <c r="BE537" s="171"/>
      <c r="BF537" s="171"/>
      <c r="BG537" s="171"/>
      <c r="BH537" s="171"/>
    </row>
    <row r="538" spans="1:60" ht="33.75" outlineLevel="1" x14ac:dyDescent="0.2">
      <c r="A538" s="177">
        <v>93</v>
      </c>
      <c r="B538" s="178" t="s">
        <v>577</v>
      </c>
      <c r="C538" s="179" t="s">
        <v>578</v>
      </c>
      <c r="D538" s="180" t="s">
        <v>159</v>
      </c>
      <c r="E538" s="181">
        <v>118.61</v>
      </c>
      <c r="F538" s="141"/>
      <c r="G538" s="182">
        <f>ROUND(E538*F538,2)</f>
        <v>0</v>
      </c>
      <c r="H538" s="168"/>
      <c r="I538" s="169">
        <f>ROUND(E538*H538,2)</f>
        <v>0</v>
      </c>
      <c r="J538" s="168"/>
      <c r="K538" s="169">
        <f>ROUND(E538*J538,2)</f>
        <v>0</v>
      </c>
      <c r="L538" s="169">
        <v>21</v>
      </c>
      <c r="M538" s="169">
        <f>G538*(1+L538/100)</f>
        <v>0</v>
      </c>
      <c r="N538" s="170">
        <v>5.0400000000000002E-3</v>
      </c>
      <c r="O538" s="170">
        <f>ROUND(E538*N538,2)</f>
        <v>0.6</v>
      </c>
      <c r="P538" s="170">
        <v>0</v>
      </c>
      <c r="Q538" s="170">
        <f>ROUND(E538*P538,2)</f>
        <v>0</v>
      </c>
      <c r="R538" s="169"/>
      <c r="S538" s="169" t="s">
        <v>143</v>
      </c>
      <c r="T538" s="169" t="s">
        <v>143</v>
      </c>
      <c r="U538" s="169">
        <v>0.97799999999999998</v>
      </c>
      <c r="V538" s="169">
        <f>ROUND(E538*U538,2)</f>
        <v>116</v>
      </c>
      <c r="W538" s="169"/>
      <c r="X538" s="169" t="s">
        <v>144</v>
      </c>
      <c r="Y538" s="169" t="s">
        <v>145</v>
      </c>
      <c r="Z538" s="171"/>
      <c r="AA538" s="171"/>
      <c r="AB538" s="171"/>
      <c r="AC538" s="171"/>
      <c r="AD538" s="171"/>
      <c r="AE538" s="171"/>
      <c r="AF538" s="171"/>
      <c r="AG538" s="171" t="s">
        <v>146</v>
      </c>
      <c r="AH538" s="171"/>
      <c r="AI538" s="171"/>
      <c r="AJ538" s="171"/>
      <c r="AK538" s="171"/>
      <c r="AL538" s="171"/>
      <c r="AM538" s="171"/>
      <c r="AN538" s="171"/>
      <c r="AO538" s="171"/>
      <c r="AP538" s="171"/>
      <c r="AQ538" s="171"/>
      <c r="AR538" s="171"/>
      <c r="AS538" s="171"/>
      <c r="AT538" s="171"/>
      <c r="AU538" s="171"/>
      <c r="AV538" s="171"/>
      <c r="AW538" s="171"/>
      <c r="AX538" s="171"/>
      <c r="AY538" s="171"/>
      <c r="AZ538" s="171"/>
      <c r="BA538" s="171"/>
      <c r="BB538" s="171"/>
      <c r="BC538" s="171"/>
      <c r="BD538" s="171"/>
      <c r="BE538" s="171"/>
      <c r="BF538" s="171"/>
      <c r="BG538" s="171"/>
      <c r="BH538" s="171"/>
    </row>
    <row r="539" spans="1:60" outlineLevel="1" x14ac:dyDescent="0.2">
      <c r="A539" s="162">
        <v>94</v>
      </c>
      <c r="B539" s="163" t="s">
        <v>579</v>
      </c>
      <c r="C539" s="164" t="s">
        <v>580</v>
      </c>
      <c r="D539" s="165" t="s">
        <v>375</v>
      </c>
      <c r="E539" s="166">
        <v>10.8</v>
      </c>
      <c r="F539" s="140"/>
      <c r="G539" s="167">
        <f>ROUND(E539*F539,2)</f>
        <v>0</v>
      </c>
      <c r="H539" s="168"/>
      <c r="I539" s="169">
        <f>ROUND(E539*H539,2)</f>
        <v>0</v>
      </c>
      <c r="J539" s="168"/>
      <c r="K539" s="169">
        <f>ROUND(E539*J539,2)</f>
        <v>0</v>
      </c>
      <c r="L539" s="169">
        <v>21</v>
      </c>
      <c r="M539" s="169">
        <f>G539*(1+L539/100)</f>
        <v>0</v>
      </c>
      <c r="N539" s="170">
        <v>2.3000000000000001E-4</v>
      </c>
      <c r="O539" s="170">
        <f>ROUND(E539*N539,2)</f>
        <v>0</v>
      </c>
      <c r="P539" s="170">
        <v>0</v>
      </c>
      <c r="Q539" s="170">
        <f>ROUND(E539*P539,2)</f>
        <v>0</v>
      </c>
      <c r="R539" s="169"/>
      <c r="S539" s="169" t="s">
        <v>143</v>
      </c>
      <c r="T539" s="169" t="s">
        <v>143</v>
      </c>
      <c r="U539" s="169">
        <v>0.20805000000000001</v>
      </c>
      <c r="V539" s="169">
        <f>ROUND(E539*U539,2)</f>
        <v>2.25</v>
      </c>
      <c r="W539" s="169"/>
      <c r="X539" s="169" t="s">
        <v>144</v>
      </c>
      <c r="Y539" s="169" t="s">
        <v>145</v>
      </c>
      <c r="Z539" s="171"/>
      <c r="AA539" s="171"/>
      <c r="AB539" s="171"/>
      <c r="AC539" s="171"/>
      <c r="AD539" s="171"/>
      <c r="AE539" s="171"/>
      <c r="AF539" s="171"/>
      <c r="AG539" s="171" t="s">
        <v>146</v>
      </c>
      <c r="AH539" s="171"/>
      <c r="AI539" s="171"/>
      <c r="AJ539" s="171"/>
      <c r="AK539" s="171"/>
      <c r="AL539" s="171"/>
      <c r="AM539" s="171"/>
      <c r="AN539" s="171"/>
      <c r="AO539" s="171"/>
      <c r="AP539" s="171"/>
      <c r="AQ539" s="171"/>
      <c r="AR539" s="171"/>
      <c r="AS539" s="171"/>
      <c r="AT539" s="171"/>
      <c r="AU539" s="171"/>
      <c r="AV539" s="171"/>
      <c r="AW539" s="171"/>
      <c r="AX539" s="171"/>
      <c r="AY539" s="171"/>
      <c r="AZ539" s="171"/>
      <c r="BA539" s="171"/>
      <c r="BB539" s="171"/>
      <c r="BC539" s="171"/>
      <c r="BD539" s="171"/>
      <c r="BE539" s="171"/>
      <c r="BF539" s="171"/>
      <c r="BG539" s="171"/>
      <c r="BH539" s="171"/>
    </row>
    <row r="540" spans="1:60" outlineLevel="2" x14ac:dyDescent="0.2">
      <c r="A540" s="172"/>
      <c r="B540" s="173"/>
      <c r="C540" s="174" t="s">
        <v>149</v>
      </c>
      <c r="D540" s="175"/>
      <c r="E540" s="176"/>
      <c r="F540" s="196"/>
      <c r="G540" s="169"/>
      <c r="H540" s="169"/>
      <c r="I540" s="169"/>
      <c r="J540" s="169"/>
      <c r="K540" s="169"/>
      <c r="L540" s="169"/>
      <c r="M540" s="169"/>
      <c r="N540" s="170"/>
      <c r="O540" s="170"/>
      <c r="P540" s="170"/>
      <c r="Q540" s="170"/>
      <c r="R540" s="169"/>
      <c r="S540" s="169"/>
      <c r="T540" s="169"/>
      <c r="U540" s="169"/>
      <c r="V540" s="169"/>
      <c r="W540" s="169"/>
      <c r="X540" s="169"/>
      <c r="Y540" s="169"/>
      <c r="Z540" s="171"/>
      <c r="AA540" s="171"/>
      <c r="AB540" s="171"/>
      <c r="AC540" s="171"/>
      <c r="AD540" s="171"/>
      <c r="AE540" s="171"/>
      <c r="AF540" s="171"/>
      <c r="AG540" s="171" t="s">
        <v>148</v>
      </c>
      <c r="AH540" s="171">
        <v>0</v>
      </c>
      <c r="AI540" s="171"/>
      <c r="AJ540" s="171"/>
      <c r="AK540" s="171"/>
      <c r="AL540" s="171"/>
      <c r="AM540" s="171"/>
      <c r="AN540" s="171"/>
      <c r="AO540" s="171"/>
      <c r="AP540" s="171"/>
      <c r="AQ540" s="171"/>
      <c r="AR540" s="171"/>
      <c r="AS540" s="171"/>
      <c r="AT540" s="171"/>
      <c r="AU540" s="171"/>
      <c r="AV540" s="171"/>
      <c r="AW540" s="171"/>
      <c r="AX540" s="171"/>
      <c r="AY540" s="171"/>
      <c r="AZ540" s="171"/>
      <c r="BA540" s="171"/>
      <c r="BB540" s="171"/>
      <c r="BC540" s="171"/>
      <c r="BD540" s="171"/>
      <c r="BE540" s="171"/>
      <c r="BF540" s="171"/>
      <c r="BG540" s="171"/>
      <c r="BH540" s="171"/>
    </row>
    <row r="541" spans="1:60" outlineLevel="3" x14ac:dyDescent="0.2">
      <c r="A541" s="172"/>
      <c r="B541" s="173"/>
      <c r="C541" s="174" t="s">
        <v>581</v>
      </c>
      <c r="D541" s="175"/>
      <c r="E541" s="176">
        <v>3.6</v>
      </c>
      <c r="F541" s="196"/>
      <c r="G541" s="169"/>
      <c r="H541" s="169"/>
      <c r="I541" s="169"/>
      <c r="J541" s="169"/>
      <c r="K541" s="169"/>
      <c r="L541" s="169"/>
      <c r="M541" s="169"/>
      <c r="N541" s="170"/>
      <c r="O541" s="170"/>
      <c r="P541" s="170"/>
      <c r="Q541" s="170"/>
      <c r="R541" s="169"/>
      <c r="S541" s="169"/>
      <c r="T541" s="169"/>
      <c r="U541" s="169"/>
      <c r="V541" s="169"/>
      <c r="W541" s="169"/>
      <c r="X541" s="169"/>
      <c r="Y541" s="169"/>
      <c r="Z541" s="171"/>
      <c r="AA541" s="171"/>
      <c r="AB541" s="171"/>
      <c r="AC541" s="171"/>
      <c r="AD541" s="171"/>
      <c r="AE541" s="171"/>
      <c r="AF541" s="171"/>
      <c r="AG541" s="171" t="s">
        <v>148</v>
      </c>
      <c r="AH541" s="171">
        <v>0</v>
      </c>
      <c r="AI541" s="171"/>
      <c r="AJ541" s="171"/>
      <c r="AK541" s="171"/>
      <c r="AL541" s="171"/>
      <c r="AM541" s="171"/>
      <c r="AN541" s="171"/>
      <c r="AO541" s="171"/>
      <c r="AP541" s="171"/>
      <c r="AQ541" s="171"/>
      <c r="AR541" s="171"/>
      <c r="AS541" s="171"/>
      <c r="AT541" s="171"/>
      <c r="AU541" s="171"/>
      <c r="AV541" s="171"/>
      <c r="AW541" s="171"/>
      <c r="AX541" s="171"/>
      <c r="AY541" s="171"/>
      <c r="AZ541" s="171"/>
      <c r="BA541" s="171"/>
      <c r="BB541" s="171"/>
      <c r="BC541" s="171"/>
      <c r="BD541" s="171"/>
      <c r="BE541" s="171"/>
      <c r="BF541" s="171"/>
      <c r="BG541" s="171"/>
      <c r="BH541" s="171"/>
    </row>
    <row r="542" spans="1:60" outlineLevel="3" x14ac:dyDescent="0.2">
      <c r="A542" s="172"/>
      <c r="B542" s="173"/>
      <c r="C542" s="174" t="s">
        <v>151</v>
      </c>
      <c r="D542" s="175"/>
      <c r="E542" s="176"/>
      <c r="F542" s="196"/>
      <c r="G542" s="169"/>
      <c r="H542" s="169"/>
      <c r="I542" s="169"/>
      <c r="J542" s="169"/>
      <c r="K542" s="169"/>
      <c r="L542" s="169"/>
      <c r="M542" s="169"/>
      <c r="N542" s="170"/>
      <c r="O542" s="170"/>
      <c r="P542" s="170"/>
      <c r="Q542" s="170"/>
      <c r="R542" s="169"/>
      <c r="S542" s="169"/>
      <c r="T542" s="169"/>
      <c r="U542" s="169"/>
      <c r="V542" s="169"/>
      <c r="W542" s="169"/>
      <c r="X542" s="169"/>
      <c r="Y542" s="169"/>
      <c r="Z542" s="171"/>
      <c r="AA542" s="171"/>
      <c r="AB542" s="171"/>
      <c r="AC542" s="171"/>
      <c r="AD542" s="171"/>
      <c r="AE542" s="171"/>
      <c r="AF542" s="171"/>
      <c r="AG542" s="171" t="s">
        <v>148</v>
      </c>
      <c r="AH542" s="171">
        <v>0</v>
      </c>
      <c r="AI542" s="171"/>
      <c r="AJ542" s="171"/>
      <c r="AK542" s="171"/>
      <c r="AL542" s="171"/>
      <c r="AM542" s="171"/>
      <c r="AN542" s="171"/>
      <c r="AO542" s="171"/>
      <c r="AP542" s="171"/>
      <c r="AQ542" s="171"/>
      <c r="AR542" s="171"/>
      <c r="AS542" s="171"/>
      <c r="AT542" s="171"/>
      <c r="AU542" s="171"/>
      <c r="AV542" s="171"/>
      <c r="AW542" s="171"/>
      <c r="AX542" s="171"/>
      <c r="AY542" s="171"/>
      <c r="AZ542" s="171"/>
      <c r="BA542" s="171"/>
      <c r="BB542" s="171"/>
      <c r="BC542" s="171"/>
      <c r="BD542" s="171"/>
      <c r="BE542" s="171"/>
      <c r="BF542" s="171"/>
      <c r="BG542" s="171"/>
      <c r="BH542" s="171"/>
    </row>
    <row r="543" spans="1:60" outlineLevel="3" x14ac:dyDescent="0.2">
      <c r="A543" s="172"/>
      <c r="B543" s="173"/>
      <c r="C543" s="174" t="s">
        <v>581</v>
      </c>
      <c r="D543" s="175"/>
      <c r="E543" s="176">
        <v>3.6</v>
      </c>
      <c r="F543" s="196"/>
      <c r="G543" s="169"/>
      <c r="H543" s="169"/>
      <c r="I543" s="169"/>
      <c r="J543" s="169"/>
      <c r="K543" s="169"/>
      <c r="L543" s="169"/>
      <c r="M543" s="169"/>
      <c r="N543" s="170"/>
      <c r="O543" s="170"/>
      <c r="P543" s="170"/>
      <c r="Q543" s="170"/>
      <c r="R543" s="169"/>
      <c r="S543" s="169"/>
      <c r="T543" s="169"/>
      <c r="U543" s="169"/>
      <c r="V543" s="169"/>
      <c r="W543" s="169"/>
      <c r="X543" s="169"/>
      <c r="Y543" s="169"/>
      <c r="Z543" s="171"/>
      <c r="AA543" s="171"/>
      <c r="AB543" s="171"/>
      <c r="AC543" s="171"/>
      <c r="AD543" s="171"/>
      <c r="AE543" s="171"/>
      <c r="AF543" s="171"/>
      <c r="AG543" s="171" t="s">
        <v>148</v>
      </c>
      <c r="AH543" s="171">
        <v>0</v>
      </c>
      <c r="AI543" s="171"/>
      <c r="AJ543" s="171"/>
      <c r="AK543" s="171"/>
      <c r="AL543" s="171"/>
      <c r="AM543" s="171"/>
      <c r="AN543" s="171"/>
      <c r="AO543" s="171"/>
      <c r="AP543" s="171"/>
      <c r="AQ543" s="171"/>
      <c r="AR543" s="171"/>
      <c r="AS543" s="171"/>
      <c r="AT543" s="171"/>
      <c r="AU543" s="171"/>
      <c r="AV543" s="171"/>
      <c r="AW543" s="171"/>
      <c r="AX543" s="171"/>
      <c r="AY543" s="171"/>
      <c r="AZ543" s="171"/>
      <c r="BA543" s="171"/>
      <c r="BB543" s="171"/>
      <c r="BC543" s="171"/>
      <c r="BD543" s="171"/>
      <c r="BE543" s="171"/>
      <c r="BF543" s="171"/>
      <c r="BG543" s="171"/>
      <c r="BH543" s="171"/>
    </row>
    <row r="544" spans="1:60" outlineLevel="3" x14ac:dyDescent="0.2">
      <c r="A544" s="172"/>
      <c r="B544" s="173"/>
      <c r="C544" s="174" t="s">
        <v>152</v>
      </c>
      <c r="D544" s="175"/>
      <c r="E544" s="176"/>
      <c r="F544" s="196"/>
      <c r="G544" s="169"/>
      <c r="H544" s="169"/>
      <c r="I544" s="169"/>
      <c r="J544" s="169"/>
      <c r="K544" s="169"/>
      <c r="L544" s="169"/>
      <c r="M544" s="169"/>
      <c r="N544" s="170"/>
      <c r="O544" s="170"/>
      <c r="P544" s="170"/>
      <c r="Q544" s="170"/>
      <c r="R544" s="169"/>
      <c r="S544" s="169"/>
      <c r="T544" s="169"/>
      <c r="U544" s="169"/>
      <c r="V544" s="169"/>
      <c r="W544" s="169"/>
      <c r="X544" s="169"/>
      <c r="Y544" s="169"/>
      <c r="Z544" s="171"/>
      <c r="AA544" s="171"/>
      <c r="AB544" s="171"/>
      <c r="AC544" s="171"/>
      <c r="AD544" s="171"/>
      <c r="AE544" s="171"/>
      <c r="AF544" s="171"/>
      <c r="AG544" s="171" t="s">
        <v>148</v>
      </c>
      <c r="AH544" s="171">
        <v>0</v>
      </c>
      <c r="AI544" s="171"/>
      <c r="AJ544" s="171"/>
      <c r="AK544" s="171"/>
      <c r="AL544" s="171"/>
      <c r="AM544" s="171"/>
      <c r="AN544" s="171"/>
      <c r="AO544" s="171"/>
      <c r="AP544" s="171"/>
      <c r="AQ544" s="171"/>
      <c r="AR544" s="171"/>
      <c r="AS544" s="171"/>
      <c r="AT544" s="171"/>
      <c r="AU544" s="171"/>
      <c r="AV544" s="171"/>
      <c r="AW544" s="171"/>
      <c r="AX544" s="171"/>
      <c r="AY544" s="171"/>
      <c r="AZ544" s="171"/>
      <c r="BA544" s="171"/>
      <c r="BB544" s="171"/>
      <c r="BC544" s="171"/>
      <c r="BD544" s="171"/>
      <c r="BE544" s="171"/>
      <c r="BF544" s="171"/>
      <c r="BG544" s="171"/>
      <c r="BH544" s="171"/>
    </row>
    <row r="545" spans="1:60" outlineLevel="3" x14ac:dyDescent="0.2">
      <c r="A545" s="172"/>
      <c r="B545" s="173"/>
      <c r="C545" s="174" t="s">
        <v>581</v>
      </c>
      <c r="D545" s="175"/>
      <c r="E545" s="176">
        <v>3.6</v>
      </c>
      <c r="F545" s="196"/>
      <c r="G545" s="169"/>
      <c r="H545" s="169"/>
      <c r="I545" s="169"/>
      <c r="J545" s="169"/>
      <c r="K545" s="169"/>
      <c r="L545" s="169"/>
      <c r="M545" s="169"/>
      <c r="N545" s="170"/>
      <c r="O545" s="170"/>
      <c r="P545" s="170"/>
      <c r="Q545" s="170"/>
      <c r="R545" s="169"/>
      <c r="S545" s="169"/>
      <c r="T545" s="169"/>
      <c r="U545" s="169"/>
      <c r="V545" s="169"/>
      <c r="W545" s="169"/>
      <c r="X545" s="169"/>
      <c r="Y545" s="169"/>
      <c r="Z545" s="171"/>
      <c r="AA545" s="171"/>
      <c r="AB545" s="171"/>
      <c r="AC545" s="171"/>
      <c r="AD545" s="171"/>
      <c r="AE545" s="171"/>
      <c r="AF545" s="171"/>
      <c r="AG545" s="171" t="s">
        <v>148</v>
      </c>
      <c r="AH545" s="171">
        <v>0</v>
      </c>
      <c r="AI545" s="171"/>
      <c r="AJ545" s="171"/>
      <c r="AK545" s="171"/>
      <c r="AL545" s="171"/>
      <c r="AM545" s="171"/>
      <c r="AN545" s="171"/>
      <c r="AO545" s="171"/>
      <c r="AP545" s="171"/>
      <c r="AQ545" s="171"/>
      <c r="AR545" s="171"/>
      <c r="AS545" s="171"/>
      <c r="AT545" s="171"/>
      <c r="AU545" s="171"/>
      <c r="AV545" s="171"/>
      <c r="AW545" s="171"/>
      <c r="AX545" s="171"/>
      <c r="AY545" s="171"/>
      <c r="AZ545" s="171"/>
      <c r="BA545" s="171"/>
      <c r="BB545" s="171"/>
      <c r="BC545" s="171"/>
      <c r="BD545" s="171"/>
      <c r="BE545" s="171"/>
      <c r="BF545" s="171"/>
      <c r="BG545" s="171"/>
      <c r="BH545" s="171"/>
    </row>
    <row r="546" spans="1:60" outlineLevel="1" x14ac:dyDescent="0.2">
      <c r="A546" s="162">
        <v>95</v>
      </c>
      <c r="B546" s="163" t="s">
        <v>582</v>
      </c>
      <c r="C546" s="164" t="s">
        <v>583</v>
      </c>
      <c r="D546" s="165" t="s">
        <v>375</v>
      </c>
      <c r="E546" s="166">
        <v>8.4</v>
      </c>
      <c r="F546" s="140"/>
      <c r="G546" s="167">
        <f>ROUND(E546*F546,2)</f>
        <v>0</v>
      </c>
      <c r="H546" s="168"/>
      <c r="I546" s="169">
        <f>ROUND(E546*H546,2)</f>
        <v>0</v>
      </c>
      <c r="J546" s="168"/>
      <c r="K546" s="169">
        <f>ROUND(E546*J546,2)</f>
        <v>0</v>
      </c>
      <c r="L546" s="169">
        <v>21</v>
      </c>
      <c r="M546" s="169">
        <f>G546*(1+L546/100)</f>
        <v>0</v>
      </c>
      <c r="N546" s="170">
        <v>1.4999999999999999E-4</v>
      </c>
      <c r="O546" s="170">
        <f>ROUND(E546*N546,2)</f>
        <v>0</v>
      </c>
      <c r="P546" s="170">
        <v>0</v>
      </c>
      <c r="Q546" s="170">
        <f>ROUND(E546*P546,2)</f>
        <v>0</v>
      </c>
      <c r="R546" s="169"/>
      <c r="S546" s="169" t="s">
        <v>143</v>
      </c>
      <c r="T546" s="169" t="s">
        <v>143</v>
      </c>
      <c r="U546" s="169">
        <v>0.15</v>
      </c>
      <c r="V546" s="169">
        <f>ROUND(E546*U546,2)</f>
        <v>1.26</v>
      </c>
      <c r="W546" s="169"/>
      <c r="X546" s="169" t="s">
        <v>144</v>
      </c>
      <c r="Y546" s="169" t="s">
        <v>145</v>
      </c>
      <c r="Z546" s="171"/>
      <c r="AA546" s="171"/>
      <c r="AB546" s="171"/>
      <c r="AC546" s="171"/>
      <c r="AD546" s="171"/>
      <c r="AE546" s="171"/>
      <c r="AF546" s="171"/>
      <c r="AG546" s="171" t="s">
        <v>146</v>
      </c>
      <c r="AH546" s="171"/>
      <c r="AI546" s="171"/>
      <c r="AJ546" s="171"/>
      <c r="AK546" s="171"/>
      <c r="AL546" s="171"/>
      <c r="AM546" s="171"/>
      <c r="AN546" s="171"/>
      <c r="AO546" s="171"/>
      <c r="AP546" s="171"/>
      <c r="AQ546" s="171"/>
      <c r="AR546" s="171"/>
      <c r="AS546" s="171"/>
      <c r="AT546" s="171"/>
      <c r="AU546" s="171"/>
      <c r="AV546" s="171"/>
      <c r="AW546" s="171"/>
      <c r="AX546" s="171"/>
      <c r="AY546" s="171"/>
      <c r="AZ546" s="171"/>
      <c r="BA546" s="171"/>
      <c r="BB546" s="171"/>
      <c r="BC546" s="171"/>
      <c r="BD546" s="171"/>
      <c r="BE546" s="171"/>
      <c r="BF546" s="171"/>
      <c r="BG546" s="171"/>
      <c r="BH546" s="171"/>
    </row>
    <row r="547" spans="1:60" outlineLevel="2" x14ac:dyDescent="0.2">
      <c r="A547" s="172"/>
      <c r="B547" s="173"/>
      <c r="C547" s="174" t="s">
        <v>149</v>
      </c>
      <c r="D547" s="175"/>
      <c r="E547" s="176"/>
      <c r="F547" s="196"/>
      <c r="G547" s="169"/>
      <c r="H547" s="169"/>
      <c r="I547" s="169"/>
      <c r="J547" s="169"/>
      <c r="K547" s="169"/>
      <c r="L547" s="169"/>
      <c r="M547" s="169"/>
      <c r="N547" s="170"/>
      <c r="O547" s="170"/>
      <c r="P547" s="170"/>
      <c r="Q547" s="170"/>
      <c r="R547" s="169"/>
      <c r="S547" s="169"/>
      <c r="T547" s="169"/>
      <c r="U547" s="169"/>
      <c r="V547" s="169"/>
      <c r="W547" s="169"/>
      <c r="X547" s="169"/>
      <c r="Y547" s="169"/>
      <c r="Z547" s="171"/>
      <c r="AA547" s="171"/>
      <c r="AB547" s="171"/>
      <c r="AC547" s="171"/>
      <c r="AD547" s="171"/>
      <c r="AE547" s="171"/>
      <c r="AF547" s="171"/>
      <c r="AG547" s="171" t="s">
        <v>148</v>
      </c>
      <c r="AH547" s="171">
        <v>0</v>
      </c>
      <c r="AI547" s="171"/>
      <c r="AJ547" s="171"/>
      <c r="AK547" s="171"/>
      <c r="AL547" s="171"/>
      <c r="AM547" s="171"/>
      <c r="AN547" s="171"/>
      <c r="AO547" s="171"/>
      <c r="AP547" s="171"/>
      <c r="AQ547" s="171"/>
      <c r="AR547" s="171"/>
      <c r="AS547" s="171"/>
      <c r="AT547" s="171"/>
      <c r="AU547" s="171"/>
      <c r="AV547" s="171"/>
      <c r="AW547" s="171"/>
      <c r="AX547" s="171"/>
      <c r="AY547" s="171"/>
      <c r="AZ547" s="171"/>
      <c r="BA547" s="171"/>
      <c r="BB547" s="171"/>
      <c r="BC547" s="171"/>
      <c r="BD547" s="171"/>
      <c r="BE547" s="171"/>
      <c r="BF547" s="171"/>
      <c r="BG547" s="171"/>
      <c r="BH547" s="171"/>
    </row>
    <row r="548" spans="1:60" outlineLevel="3" x14ac:dyDescent="0.2">
      <c r="A548" s="172"/>
      <c r="B548" s="173"/>
      <c r="C548" s="174" t="s">
        <v>584</v>
      </c>
      <c r="D548" s="175"/>
      <c r="E548" s="176">
        <v>2.8</v>
      </c>
      <c r="F548" s="196"/>
      <c r="G548" s="169"/>
      <c r="H548" s="169"/>
      <c r="I548" s="169"/>
      <c r="J548" s="169"/>
      <c r="K548" s="169"/>
      <c r="L548" s="169"/>
      <c r="M548" s="169"/>
      <c r="N548" s="170"/>
      <c r="O548" s="170"/>
      <c r="P548" s="170"/>
      <c r="Q548" s="170"/>
      <c r="R548" s="169"/>
      <c r="S548" s="169"/>
      <c r="T548" s="169"/>
      <c r="U548" s="169"/>
      <c r="V548" s="169"/>
      <c r="W548" s="169"/>
      <c r="X548" s="169"/>
      <c r="Y548" s="169"/>
      <c r="Z548" s="171"/>
      <c r="AA548" s="171"/>
      <c r="AB548" s="171"/>
      <c r="AC548" s="171"/>
      <c r="AD548" s="171"/>
      <c r="AE548" s="171"/>
      <c r="AF548" s="171"/>
      <c r="AG548" s="171" t="s">
        <v>148</v>
      </c>
      <c r="AH548" s="171">
        <v>0</v>
      </c>
      <c r="AI548" s="171"/>
      <c r="AJ548" s="171"/>
      <c r="AK548" s="171"/>
      <c r="AL548" s="171"/>
      <c r="AM548" s="171"/>
      <c r="AN548" s="171"/>
      <c r="AO548" s="171"/>
      <c r="AP548" s="171"/>
      <c r="AQ548" s="171"/>
      <c r="AR548" s="171"/>
      <c r="AS548" s="171"/>
      <c r="AT548" s="171"/>
      <c r="AU548" s="171"/>
      <c r="AV548" s="171"/>
      <c r="AW548" s="171"/>
      <c r="AX548" s="171"/>
      <c r="AY548" s="171"/>
      <c r="AZ548" s="171"/>
      <c r="BA548" s="171"/>
      <c r="BB548" s="171"/>
      <c r="BC548" s="171"/>
      <c r="BD548" s="171"/>
      <c r="BE548" s="171"/>
      <c r="BF548" s="171"/>
      <c r="BG548" s="171"/>
      <c r="BH548" s="171"/>
    </row>
    <row r="549" spans="1:60" outlineLevel="3" x14ac:dyDescent="0.2">
      <c r="A549" s="172"/>
      <c r="B549" s="173"/>
      <c r="C549" s="174" t="s">
        <v>151</v>
      </c>
      <c r="D549" s="175"/>
      <c r="E549" s="176"/>
      <c r="F549" s="196"/>
      <c r="G549" s="169"/>
      <c r="H549" s="169"/>
      <c r="I549" s="169"/>
      <c r="J549" s="169"/>
      <c r="K549" s="169"/>
      <c r="L549" s="169"/>
      <c r="M549" s="169"/>
      <c r="N549" s="170"/>
      <c r="O549" s="170"/>
      <c r="P549" s="170"/>
      <c r="Q549" s="170"/>
      <c r="R549" s="169"/>
      <c r="S549" s="169"/>
      <c r="T549" s="169"/>
      <c r="U549" s="169"/>
      <c r="V549" s="169"/>
      <c r="W549" s="169"/>
      <c r="X549" s="169"/>
      <c r="Y549" s="169"/>
      <c r="Z549" s="171"/>
      <c r="AA549" s="171"/>
      <c r="AB549" s="171"/>
      <c r="AC549" s="171"/>
      <c r="AD549" s="171"/>
      <c r="AE549" s="171"/>
      <c r="AF549" s="171"/>
      <c r="AG549" s="171" t="s">
        <v>148</v>
      </c>
      <c r="AH549" s="171">
        <v>0</v>
      </c>
      <c r="AI549" s="171"/>
      <c r="AJ549" s="171"/>
      <c r="AK549" s="171"/>
      <c r="AL549" s="171"/>
      <c r="AM549" s="171"/>
      <c r="AN549" s="171"/>
      <c r="AO549" s="171"/>
      <c r="AP549" s="171"/>
      <c r="AQ549" s="171"/>
      <c r="AR549" s="171"/>
      <c r="AS549" s="171"/>
      <c r="AT549" s="171"/>
      <c r="AU549" s="171"/>
      <c r="AV549" s="171"/>
      <c r="AW549" s="171"/>
      <c r="AX549" s="171"/>
      <c r="AY549" s="171"/>
      <c r="AZ549" s="171"/>
      <c r="BA549" s="171"/>
      <c r="BB549" s="171"/>
      <c r="BC549" s="171"/>
      <c r="BD549" s="171"/>
      <c r="BE549" s="171"/>
      <c r="BF549" s="171"/>
      <c r="BG549" s="171"/>
      <c r="BH549" s="171"/>
    </row>
    <row r="550" spans="1:60" outlineLevel="3" x14ac:dyDescent="0.2">
      <c r="A550" s="172"/>
      <c r="B550" s="173"/>
      <c r="C550" s="174" t="s">
        <v>584</v>
      </c>
      <c r="D550" s="175"/>
      <c r="E550" s="176">
        <v>2.8</v>
      </c>
      <c r="F550" s="196"/>
      <c r="G550" s="169"/>
      <c r="H550" s="169"/>
      <c r="I550" s="169"/>
      <c r="J550" s="169"/>
      <c r="K550" s="169"/>
      <c r="L550" s="169"/>
      <c r="M550" s="169"/>
      <c r="N550" s="170"/>
      <c r="O550" s="170"/>
      <c r="P550" s="170"/>
      <c r="Q550" s="170"/>
      <c r="R550" s="169"/>
      <c r="S550" s="169"/>
      <c r="T550" s="169"/>
      <c r="U550" s="169"/>
      <c r="V550" s="169"/>
      <c r="W550" s="169"/>
      <c r="X550" s="169"/>
      <c r="Y550" s="169"/>
      <c r="Z550" s="171"/>
      <c r="AA550" s="171"/>
      <c r="AB550" s="171"/>
      <c r="AC550" s="171"/>
      <c r="AD550" s="171"/>
      <c r="AE550" s="171"/>
      <c r="AF550" s="171"/>
      <c r="AG550" s="171" t="s">
        <v>148</v>
      </c>
      <c r="AH550" s="171">
        <v>0</v>
      </c>
      <c r="AI550" s="171"/>
      <c r="AJ550" s="171"/>
      <c r="AK550" s="171"/>
      <c r="AL550" s="171"/>
      <c r="AM550" s="171"/>
      <c r="AN550" s="171"/>
      <c r="AO550" s="171"/>
      <c r="AP550" s="171"/>
      <c r="AQ550" s="171"/>
      <c r="AR550" s="171"/>
      <c r="AS550" s="171"/>
      <c r="AT550" s="171"/>
      <c r="AU550" s="171"/>
      <c r="AV550" s="171"/>
      <c r="AW550" s="171"/>
      <c r="AX550" s="171"/>
      <c r="AY550" s="171"/>
      <c r="AZ550" s="171"/>
      <c r="BA550" s="171"/>
      <c r="BB550" s="171"/>
      <c r="BC550" s="171"/>
      <c r="BD550" s="171"/>
      <c r="BE550" s="171"/>
      <c r="BF550" s="171"/>
      <c r="BG550" s="171"/>
      <c r="BH550" s="171"/>
    </row>
    <row r="551" spans="1:60" outlineLevel="3" x14ac:dyDescent="0.2">
      <c r="A551" s="172"/>
      <c r="B551" s="173"/>
      <c r="C551" s="174" t="s">
        <v>152</v>
      </c>
      <c r="D551" s="175"/>
      <c r="E551" s="176"/>
      <c r="F551" s="196"/>
      <c r="G551" s="169"/>
      <c r="H551" s="169"/>
      <c r="I551" s="169"/>
      <c r="J551" s="169"/>
      <c r="K551" s="169"/>
      <c r="L551" s="169"/>
      <c r="M551" s="169"/>
      <c r="N551" s="170"/>
      <c r="O551" s="170"/>
      <c r="P551" s="170"/>
      <c r="Q551" s="170"/>
      <c r="R551" s="169"/>
      <c r="S551" s="169"/>
      <c r="T551" s="169"/>
      <c r="U551" s="169"/>
      <c r="V551" s="169"/>
      <c r="W551" s="169"/>
      <c r="X551" s="169"/>
      <c r="Y551" s="169"/>
      <c r="Z551" s="171"/>
      <c r="AA551" s="171"/>
      <c r="AB551" s="171"/>
      <c r="AC551" s="171"/>
      <c r="AD551" s="171"/>
      <c r="AE551" s="171"/>
      <c r="AF551" s="171"/>
      <c r="AG551" s="171" t="s">
        <v>148</v>
      </c>
      <c r="AH551" s="171">
        <v>0</v>
      </c>
      <c r="AI551" s="171"/>
      <c r="AJ551" s="171"/>
      <c r="AK551" s="171"/>
      <c r="AL551" s="171"/>
      <c r="AM551" s="171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</row>
    <row r="552" spans="1:60" outlineLevel="3" x14ac:dyDescent="0.2">
      <c r="A552" s="172"/>
      <c r="B552" s="173"/>
      <c r="C552" s="174" t="s">
        <v>584</v>
      </c>
      <c r="D552" s="175"/>
      <c r="E552" s="176">
        <v>2.8</v>
      </c>
      <c r="F552" s="196"/>
      <c r="G552" s="169"/>
      <c r="H552" s="169"/>
      <c r="I552" s="169"/>
      <c r="J552" s="169"/>
      <c r="K552" s="169"/>
      <c r="L552" s="169"/>
      <c r="M552" s="169"/>
      <c r="N552" s="170"/>
      <c r="O552" s="170"/>
      <c r="P552" s="170"/>
      <c r="Q552" s="170"/>
      <c r="R552" s="169"/>
      <c r="S552" s="169"/>
      <c r="T552" s="169"/>
      <c r="U552" s="169"/>
      <c r="V552" s="169"/>
      <c r="W552" s="169"/>
      <c r="X552" s="169"/>
      <c r="Y552" s="169"/>
      <c r="Z552" s="171"/>
      <c r="AA552" s="171"/>
      <c r="AB552" s="171"/>
      <c r="AC552" s="171"/>
      <c r="AD552" s="171"/>
      <c r="AE552" s="171"/>
      <c r="AF552" s="171"/>
      <c r="AG552" s="171" t="s">
        <v>148</v>
      </c>
      <c r="AH552" s="171">
        <v>0</v>
      </c>
      <c r="AI552" s="171"/>
      <c r="AJ552" s="171"/>
      <c r="AK552" s="171"/>
      <c r="AL552" s="171"/>
      <c r="AM552" s="171"/>
      <c r="AN552" s="171"/>
      <c r="AO552" s="171"/>
      <c r="AP552" s="171"/>
      <c r="AQ552" s="171"/>
      <c r="AR552" s="171"/>
      <c r="AS552" s="171"/>
      <c r="AT552" s="171"/>
      <c r="AU552" s="171"/>
      <c r="AV552" s="171"/>
      <c r="AW552" s="171"/>
      <c r="AX552" s="171"/>
      <c r="AY552" s="171"/>
      <c r="AZ552" s="171"/>
      <c r="BA552" s="171"/>
      <c r="BB552" s="171"/>
      <c r="BC552" s="171"/>
      <c r="BD552" s="171"/>
      <c r="BE552" s="171"/>
      <c r="BF552" s="171"/>
      <c r="BG552" s="171"/>
      <c r="BH552" s="171"/>
    </row>
    <row r="553" spans="1:60" outlineLevel="1" x14ac:dyDescent="0.2">
      <c r="A553" s="162">
        <v>96</v>
      </c>
      <c r="B553" s="163" t="s">
        <v>585</v>
      </c>
      <c r="C553" s="164" t="s">
        <v>586</v>
      </c>
      <c r="D553" s="165" t="s">
        <v>159</v>
      </c>
      <c r="E553" s="166">
        <v>7.3296000000000001</v>
      </c>
      <c r="F553" s="140"/>
      <c r="G553" s="167">
        <f>ROUND(E553*F553,2)</f>
        <v>0</v>
      </c>
      <c r="H553" s="168"/>
      <c r="I553" s="169">
        <f>ROUND(E553*H553,2)</f>
        <v>0</v>
      </c>
      <c r="J553" s="168"/>
      <c r="K553" s="169">
        <f>ROUND(E553*J553,2)</f>
        <v>0</v>
      </c>
      <c r="L553" s="169">
        <v>21</v>
      </c>
      <c r="M553" s="169">
        <f>G553*(1+L553/100)</f>
        <v>0</v>
      </c>
      <c r="N553" s="170">
        <v>1.9199999999999998E-2</v>
      </c>
      <c r="O553" s="170">
        <f>ROUND(E553*N553,2)</f>
        <v>0.14000000000000001</v>
      </c>
      <c r="P553" s="170">
        <v>0</v>
      </c>
      <c r="Q553" s="170">
        <f>ROUND(E553*P553,2)</f>
        <v>0</v>
      </c>
      <c r="R553" s="169" t="s">
        <v>224</v>
      </c>
      <c r="S553" s="169" t="s">
        <v>143</v>
      </c>
      <c r="T553" s="169" t="s">
        <v>143</v>
      </c>
      <c r="U553" s="169">
        <v>0</v>
      </c>
      <c r="V553" s="169">
        <f>ROUND(E553*U553,2)</f>
        <v>0</v>
      </c>
      <c r="W553" s="169"/>
      <c r="X553" s="169" t="s">
        <v>225</v>
      </c>
      <c r="Y553" s="169" t="s">
        <v>145</v>
      </c>
      <c r="Z553" s="171"/>
      <c r="AA553" s="171"/>
      <c r="AB553" s="171"/>
      <c r="AC553" s="171"/>
      <c r="AD553" s="171"/>
      <c r="AE553" s="171"/>
      <c r="AF553" s="171"/>
      <c r="AG553" s="171" t="s">
        <v>226</v>
      </c>
      <c r="AH553" s="171"/>
      <c r="AI553" s="171"/>
      <c r="AJ553" s="171"/>
      <c r="AK553" s="171"/>
      <c r="AL553" s="171"/>
      <c r="AM553" s="171"/>
      <c r="AN553" s="171"/>
      <c r="AO553" s="171"/>
      <c r="AP553" s="171"/>
      <c r="AQ553" s="171"/>
      <c r="AR553" s="171"/>
      <c r="AS553" s="171"/>
      <c r="AT553" s="171"/>
      <c r="AU553" s="171"/>
      <c r="AV553" s="171"/>
      <c r="AW553" s="171"/>
      <c r="AX553" s="171"/>
      <c r="AY553" s="171"/>
      <c r="AZ553" s="171"/>
      <c r="BA553" s="171"/>
      <c r="BB553" s="171"/>
      <c r="BC553" s="171"/>
      <c r="BD553" s="171"/>
      <c r="BE553" s="171"/>
      <c r="BF553" s="171"/>
      <c r="BG553" s="171"/>
      <c r="BH553" s="171"/>
    </row>
    <row r="554" spans="1:60" outlineLevel="2" x14ac:dyDescent="0.2">
      <c r="A554" s="172"/>
      <c r="B554" s="173"/>
      <c r="C554" s="174" t="s">
        <v>587</v>
      </c>
      <c r="D554" s="175"/>
      <c r="E554" s="176">
        <v>7.3296000000000001</v>
      </c>
      <c r="F554" s="196"/>
      <c r="G554" s="169"/>
      <c r="H554" s="169"/>
      <c r="I554" s="169"/>
      <c r="J554" s="169"/>
      <c r="K554" s="169"/>
      <c r="L554" s="169"/>
      <c r="M554" s="169"/>
      <c r="N554" s="170"/>
      <c r="O554" s="170"/>
      <c r="P554" s="170"/>
      <c r="Q554" s="170"/>
      <c r="R554" s="169"/>
      <c r="S554" s="169"/>
      <c r="T554" s="169"/>
      <c r="U554" s="169"/>
      <c r="V554" s="169"/>
      <c r="W554" s="169"/>
      <c r="X554" s="169"/>
      <c r="Y554" s="169"/>
      <c r="Z554" s="171"/>
      <c r="AA554" s="171"/>
      <c r="AB554" s="171"/>
      <c r="AC554" s="171"/>
      <c r="AD554" s="171"/>
      <c r="AE554" s="171"/>
      <c r="AF554" s="171"/>
      <c r="AG554" s="171" t="s">
        <v>148</v>
      </c>
      <c r="AH554" s="171">
        <v>0</v>
      </c>
      <c r="AI554" s="171"/>
      <c r="AJ554" s="171"/>
      <c r="AK554" s="171"/>
      <c r="AL554" s="171"/>
      <c r="AM554" s="171"/>
      <c r="AN554" s="171"/>
      <c r="AO554" s="171"/>
      <c r="AP554" s="171"/>
      <c r="AQ554" s="171"/>
      <c r="AR554" s="171"/>
      <c r="AS554" s="171"/>
      <c r="AT554" s="171"/>
      <c r="AU554" s="171"/>
      <c r="AV554" s="171"/>
      <c r="AW554" s="171"/>
      <c r="AX554" s="171"/>
      <c r="AY554" s="171"/>
      <c r="AZ554" s="171"/>
      <c r="BA554" s="171"/>
      <c r="BB554" s="171"/>
      <c r="BC554" s="171"/>
      <c r="BD554" s="171"/>
      <c r="BE554" s="171"/>
      <c r="BF554" s="171"/>
      <c r="BG554" s="171"/>
      <c r="BH554" s="171"/>
    </row>
    <row r="555" spans="1:60" outlineLevel="1" x14ac:dyDescent="0.2">
      <c r="A555" s="162">
        <v>97</v>
      </c>
      <c r="B555" s="163" t="s">
        <v>588</v>
      </c>
      <c r="C555" s="164" t="s">
        <v>589</v>
      </c>
      <c r="D555" s="165" t="s">
        <v>159</v>
      </c>
      <c r="E555" s="166">
        <v>130.471</v>
      </c>
      <c r="F555" s="140"/>
      <c r="G555" s="167">
        <f>ROUND(E555*F555,2)</f>
        <v>0</v>
      </c>
      <c r="H555" s="168"/>
      <c r="I555" s="169">
        <f>ROUND(E555*H555,2)</f>
        <v>0</v>
      </c>
      <c r="J555" s="168"/>
      <c r="K555" s="169">
        <f>ROUND(E555*J555,2)</f>
        <v>0</v>
      </c>
      <c r="L555" s="169">
        <v>21</v>
      </c>
      <c r="M555" s="169">
        <f>G555*(1+L555/100)</f>
        <v>0</v>
      </c>
      <c r="N555" s="170">
        <v>1.9199999999999998E-2</v>
      </c>
      <c r="O555" s="170">
        <f>ROUND(E555*N555,2)</f>
        <v>2.5099999999999998</v>
      </c>
      <c r="P555" s="170">
        <v>0</v>
      </c>
      <c r="Q555" s="170">
        <f>ROUND(E555*P555,2)</f>
        <v>0</v>
      </c>
      <c r="R555" s="169" t="s">
        <v>224</v>
      </c>
      <c r="S555" s="169" t="s">
        <v>143</v>
      </c>
      <c r="T555" s="169" t="s">
        <v>143</v>
      </c>
      <c r="U555" s="169">
        <v>0</v>
      </c>
      <c r="V555" s="169">
        <f>ROUND(E555*U555,2)</f>
        <v>0</v>
      </c>
      <c r="W555" s="169"/>
      <c r="X555" s="169" t="s">
        <v>225</v>
      </c>
      <c r="Y555" s="169" t="s">
        <v>145</v>
      </c>
      <c r="Z555" s="171"/>
      <c r="AA555" s="171"/>
      <c r="AB555" s="171"/>
      <c r="AC555" s="171"/>
      <c r="AD555" s="171"/>
      <c r="AE555" s="171"/>
      <c r="AF555" s="171"/>
      <c r="AG555" s="171" t="s">
        <v>226</v>
      </c>
      <c r="AH555" s="171"/>
      <c r="AI555" s="171"/>
      <c r="AJ555" s="171"/>
      <c r="AK555" s="171"/>
      <c r="AL555" s="171"/>
      <c r="AM555" s="171"/>
      <c r="AN555" s="171"/>
      <c r="AO555" s="171"/>
      <c r="AP555" s="171"/>
      <c r="AQ555" s="171"/>
      <c r="AR555" s="171"/>
      <c r="AS555" s="171"/>
      <c r="AT555" s="171"/>
      <c r="AU555" s="171"/>
      <c r="AV555" s="171"/>
      <c r="AW555" s="171"/>
      <c r="AX555" s="171"/>
      <c r="AY555" s="171"/>
      <c r="AZ555" s="171"/>
      <c r="BA555" s="171"/>
      <c r="BB555" s="171"/>
      <c r="BC555" s="171"/>
      <c r="BD555" s="171"/>
      <c r="BE555" s="171"/>
      <c r="BF555" s="171"/>
      <c r="BG555" s="171"/>
      <c r="BH555" s="171"/>
    </row>
    <row r="556" spans="1:60" outlineLevel="2" x14ac:dyDescent="0.2">
      <c r="A556" s="172"/>
      <c r="B556" s="173"/>
      <c r="C556" s="174" t="s">
        <v>590</v>
      </c>
      <c r="D556" s="175"/>
      <c r="E556" s="176">
        <v>130.471</v>
      </c>
      <c r="F556" s="196"/>
      <c r="G556" s="169"/>
      <c r="H556" s="169"/>
      <c r="I556" s="169"/>
      <c r="J556" s="169"/>
      <c r="K556" s="169"/>
      <c r="L556" s="169"/>
      <c r="M556" s="169"/>
      <c r="N556" s="170"/>
      <c r="O556" s="170"/>
      <c r="P556" s="170"/>
      <c r="Q556" s="170"/>
      <c r="R556" s="169"/>
      <c r="S556" s="169"/>
      <c r="T556" s="169"/>
      <c r="U556" s="169"/>
      <c r="V556" s="169"/>
      <c r="W556" s="169"/>
      <c r="X556" s="169"/>
      <c r="Y556" s="169"/>
      <c r="Z556" s="171"/>
      <c r="AA556" s="171"/>
      <c r="AB556" s="171"/>
      <c r="AC556" s="171"/>
      <c r="AD556" s="171"/>
      <c r="AE556" s="171"/>
      <c r="AF556" s="171"/>
      <c r="AG556" s="171" t="s">
        <v>148</v>
      </c>
      <c r="AH556" s="171">
        <v>0</v>
      </c>
      <c r="AI556" s="171"/>
      <c r="AJ556" s="171"/>
      <c r="AK556" s="171"/>
      <c r="AL556" s="171"/>
      <c r="AM556" s="171"/>
      <c r="AN556" s="171"/>
      <c r="AO556" s="171"/>
      <c r="AP556" s="171"/>
      <c r="AQ556" s="171"/>
      <c r="AR556" s="171"/>
      <c r="AS556" s="171"/>
      <c r="AT556" s="171"/>
      <c r="AU556" s="171"/>
      <c r="AV556" s="171"/>
      <c r="AW556" s="171"/>
      <c r="AX556" s="171"/>
      <c r="AY556" s="171"/>
      <c r="AZ556" s="171"/>
      <c r="BA556" s="171"/>
      <c r="BB556" s="171"/>
      <c r="BC556" s="171"/>
      <c r="BD556" s="171"/>
      <c r="BE556" s="171"/>
      <c r="BF556" s="171"/>
      <c r="BG556" s="171"/>
      <c r="BH556" s="171"/>
    </row>
    <row r="557" spans="1:60" outlineLevel="1" x14ac:dyDescent="0.2">
      <c r="A557" s="172">
        <v>98</v>
      </c>
      <c r="B557" s="173" t="s">
        <v>591</v>
      </c>
      <c r="C557" s="186" t="s">
        <v>592</v>
      </c>
      <c r="D557" s="187" t="s">
        <v>0</v>
      </c>
      <c r="E557" s="142"/>
      <c r="F557" s="139"/>
      <c r="G557" s="169">
        <f>ROUND(E557*F557,2)</f>
        <v>0</v>
      </c>
      <c r="H557" s="168"/>
      <c r="I557" s="169">
        <f>ROUND(E557*H557,2)</f>
        <v>0</v>
      </c>
      <c r="J557" s="168"/>
      <c r="K557" s="169">
        <f>ROUND(E557*J557,2)</f>
        <v>0</v>
      </c>
      <c r="L557" s="169">
        <v>21</v>
      </c>
      <c r="M557" s="169">
        <f>G557*(1+L557/100)</f>
        <v>0</v>
      </c>
      <c r="N557" s="170">
        <v>0</v>
      </c>
      <c r="O557" s="170">
        <f>ROUND(E557*N557,2)</f>
        <v>0</v>
      </c>
      <c r="P557" s="170">
        <v>0</v>
      </c>
      <c r="Q557" s="170">
        <f>ROUND(E557*P557,2)</f>
        <v>0</v>
      </c>
      <c r="R557" s="169"/>
      <c r="S557" s="169" t="s">
        <v>143</v>
      </c>
      <c r="T557" s="169" t="s">
        <v>143</v>
      </c>
      <c r="U557" s="169">
        <v>0</v>
      </c>
      <c r="V557" s="169">
        <f>ROUND(E557*U557,2)</f>
        <v>0</v>
      </c>
      <c r="W557" s="169"/>
      <c r="X557" s="169" t="s">
        <v>448</v>
      </c>
      <c r="Y557" s="169" t="s">
        <v>145</v>
      </c>
      <c r="Z557" s="171"/>
      <c r="AA557" s="171"/>
      <c r="AB557" s="171"/>
      <c r="AC557" s="171"/>
      <c r="AD557" s="171"/>
      <c r="AE557" s="171"/>
      <c r="AF557" s="171"/>
      <c r="AG557" s="171" t="s">
        <v>449</v>
      </c>
      <c r="AH557" s="171"/>
      <c r="AI557" s="171"/>
      <c r="AJ557" s="171"/>
      <c r="AK557" s="171"/>
      <c r="AL557" s="171"/>
      <c r="AM557" s="171"/>
      <c r="AN557" s="171"/>
      <c r="AO557" s="171"/>
      <c r="AP557" s="171"/>
      <c r="AQ557" s="171"/>
      <c r="AR557" s="171"/>
      <c r="AS557" s="171"/>
      <c r="AT557" s="171"/>
      <c r="AU557" s="171"/>
      <c r="AV557" s="171"/>
      <c r="AW557" s="171"/>
      <c r="AX557" s="171"/>
      <c r="AY557" s="171"/>
      <c r="AZ557" s="171"/>
      <c r="BA557" s="171"/>
      <c r="BB557" s="171"/>
      <c r="BC557" s="171"/>
      <c r="BD557" s="171"/>
      <c r="BE557" s="171"/>
      <c r="BF557" s="171"/>
      <c r="BG557" s="171"/>
      <c r="BH557" s="171"/>
    </row>
    <row r="558" spans="1:60" x14ac:dyDescent="0.2">
      <c r="A558" s="153" t="s">
        <v>138</v>
      </c>
      <c r="B558" s="154" t="s">
        <v>99</v>
      </c>
      <c r="C558" s="155" t="s">
        <v>100</v>
      </c>
      <c r="D558" s="156"/>
      <c r="E558" s="157"/>
      <c r="F558" s="197"/>
      <c r="G558" s="159">
        <f>SUMIF(AG559:AG661,"&lt;&gt;NOR",G559:G661)</f>
        <v>0</v>
      </c>
      <c r="H558" s="160"/>
      <c r="I558" s="160">
        <f>SUM(I559:I661)</f>
        <v>0</v>
      </c>
      <c r="J558" s="160"/>
      <c r="K558" s="160">
        <f>SUM(K559:K661)</f>
        <v>0</v>
      </c>
      <c r="L558" s="160"/>
      <c r="M558" s="160">
        <f>SUM(M559:M661)</f>
        <v>0</v>
      </c>
      <c r="N558" s="161"/>
      <c r="O558" s="161">
        <f>SUM(O559:O661)</f>
        <v>3.9000000000000004</v>
      </c>
      <c r="P558" s="161"/>
      <c r="Q558" s="161">
        <f>SUM(Q559:Q661)</f>
        <v>0</v>
      </c>
      <c r="R558" s="160"/>
      <c r="S558" s="160"/>
      <c r="T558" s="160"/>
      <c r="U558" s="160"/>
      <c r="V558" s="160">
        <f>SUM(V559:V661)</f>
        <v>453.58</v>
      </c>
      <c r="W558" s="160"/>
      <c r="X558" s="160"/>
      <c r="Y558" s="160"/>
      <c r="AG558" t="s">
        <v>139</v>
      </c>
    </row>
    <row r="559" spans="1:60" ht="22.5" outlineLevel="1" x14ac:dyDescent="0.2">
      <c r="A559" s="162">
        <v>99</v>
      </c>
      <c r="B559" s="163" t="s">
        <v>593</v>
      </c>
      <c r="C559" s="164" t="s">
        <v>594</v>
      </c>
      <c r="D559" s="165" t="s">
        <v>159</v>
      </c>
      <c r="E559" s="166">
        <v>222.7193</v>
      </c>
      <c r="F559" s="140"/>
      <c r="G559" s="167">
        <f>ROUND(E559*F559,2)</f>
        <v>0</v>
      </c>
      <c r="H559" s="168"/>
      <c r="I559" s="169">
        <f>ROUND(E559*H559,2)</f>
        <v>0</v>
      </c>
      <c r="J559" s="168"/>
      <c r="K559" s="169">
        <f>ROUND(E559*J559,2)</f>
        <v>0</v>
      </c>
      <c r="L559" s="169">
        <v>21</v>
      </c>
      <c r="M559" s="169">
        <f>G559*(1+L559/100)</f>
        <v>0</v>
      </c>
      <c r="N559" s="170">
        <v>2.1000000000000001E-4</v>
      </c>
      <c r="O559" s="170">
        <f>ROUND(E559*N559,2)</f>
        <v>0.05</v>
      </c>
      <c r="P559" s="170">
        <v>0</v>
      </c>
      <c r="Q559" s="170">
        <f>ROUND(E559*P559,2)</f>
        <v>0</v>
      </c>
      <c r="R559" s="169"/>
      <c r="S559" s="169" t="s">
        <v>143</v>
      </c>
      <c r="T559" s="169" t="s">
        <v>143</v>
      </c>
      <c r="U559" s="169">
        <v>0.05</v>
      </c>
      <c r="V559" s="169">
        <f>ROUND(E559*U559,2)</f>
        <v>11.14</v>
      </c>
      <c r="W559" s="169"/>
      <c r="X559" s="169" t="s">
        <v>144</v>
      </c>
      <c r="Y559" s="169" t="s">
        <v>145</v>
      </c>
      <c r="Z559" s="171"/>
      <c r="AA559" s="171"/>
      <c r="AB559" s="171"/>
      <c r="AC559" s="171"/>
      <c r="AD559" s="171"/>
      <c r="AE559" s="171"/>
      <c r="AF559" s="171"/>
      <c r="AG559" s="171" t="s">
        <v>146</v>
      </c>
      <c r="AH559" s="171"/>
      <c r="AI559" s="171"/>
      <c r="AJ559" s="171"/>
      <c r="AK559" s="171"/>
      <c r="AL559" s="171"/>
      <c r="AM559" s="171"/>
      <c r="AN559" s="171"/>
      <c r="AO559" s="171"/>
      <c r="AP559" s="171"/>
      <c r="AQ559" s="171"/>
      <c r="AR559" s="171"/>
      <c r="AS559" s="171"/>
      <c r="AT559" s="171"/>
      <c r="AU559" s="171"/>
      <c r="AV559" s="171"/>
      <c r="AW559" s="171"/>
      <c r="AX559" s="171"/>
      <c r="AY559" s="171"/>
      <c r="AZ559" s="171"/>
      <c r="BA559" s="171"/>
      <c r="BB559" s="171"/>
      <c r="BC559" s="171"/>
      <c r="BD559" s="171"/>
      <c r="BE559" s="171"/>
      <c r="BF559" s="171"/>
      <c r="BG559" s="171"/>
      <c r="BH559" s="171"/>
    </row>
    <row r="560" spans="1:60" outlineLevel="2" x14ac:dyDescent="0.2">
      <c r="A560" s="172"/>
      <c r="B560" s="173"/>
      <c r="C560" s="174" t="s">
        <v>149</v>
      </c>
      <c r="D560" s="175"/>
      <c r="E560" s="176"/>
      <c r="F560" s="196"/>
      <c r="G560" s="169"/>
      <c r="H560" s="169"/>
      <c r="I560" s="169"/>
      <c r="J560" s="169"/>
      <c r="K560" s="169"/>
      <c r="L560" s="169"/>
      <c r="M560" s="169"/>
      <c r="N560" s="170"/>
      <c r="O560" s="170"/>
      <c r="P560" s="170"/>
      <c r="Q560" s="170"/>
      <c r="R560" s="169"/>
      <c r="S560" s="169"/>
      <c r="T560" s="169"/>
      <c r="U560" s="169"/>
      <c r="V560" s="169"/>
      <c r="W560" s="169"/>
      <c r="X560" s="169"/>
      <c r="Y560" s="169"/>
      <c r="Z560" s="171"/>
      <c r="AA560" s="171"/>
      <c r="AB560" s="171"/>
      <c r="AC560" s="171"/>
      <c r="AD560" s="171"/>
      <c r="AE560" s="171"/>
      <c r="AF560" s="171"/>
      <c r="AG560" s="171" t="s">
        <v>148</v>
      </c>
      <c r="AH560" s="171">
        <v>0</v>
      </c>
      <c r="AI560" s="171"/>
      <c r="AJ560" s="171"/>
      <c r="AK560" s="171"/>
      <c r="AL560" s="171"/>
      <c r="AM560" s="171"/>
      <c r="AN560" s="171"/>
      <c r="AO560" s="171"/>
      <c r="AP560" s="171"/>
      <c r="AQ560" s="171"/>
      <c r="AR560" s="171"/>
      <c r="AS560" s="171"/>
      <c r="AT560" s="171"/>
      <c r="AU560" s="171"/>
      <c r="AV560" s="171"/>
      <c r="AW560" s="171"/>
      <c r="AX560" s="171"/>
      <c r="AY560" s="171"/>
      <c r="AZ560" s="171"/>
      <c r="BA560" s="171"/>
      <c r="BB560" s="171"/>
      <c r="BC560" s="171"/>
      <c r="BD560" s="171"/>
      <c r="BE560" s="171"/>
      <c r="BF560" s="171"/>
      <c r="BG560" s="171"/>
      <c r="BH560" s="171"/>
    </row>
    <row r="561" spans="1:60" outlineLevel="3" x14ac:dyDescent="0.2">
      <c r="A561" s="172"/>
      <c r="B561" s="173"/>
      <c r="C561" s="174" t="s">
        <v>246</v>
      </c>
      <c r="D561" s="175"/>
      <c r="E561" s="176">
        <v>9.44</v>
      </c>
      <c r="F561" s="196"/>
      <c r="G561" s="169"/>
      <c r="H561" s="169"/>
      <c r="I561" s="169"/>
      <c r="J561" s="169"/>
      <c r="K561" s="169"/>
      <c r="L561" s="169"/>
      <c r="M561" s="169"/>
      <c r="N561" s="170"/>
      <c r="O561" s="170"/>
      <c r="P561" s="170"/>
      <c r="Q561" s="170"/>
      <c r="R561" s="169"/>
      <c r="S561" s="169"/>
      <c r="T561" s="169"/>
      <c r="U561" s="169"/>
      <c r="V561" s="169"/>
      <c r="W561" s="169"/>
      <c r="X561" s="169"/>
      <c r="Y561" s="169"/>
      <c r="Z561" s="171"/>
      <c r="AA561" s="171"/>
      <c r="AB561" s="171"/>
      <c r="AC561" s="171"/>
      <c r="AD561" s="171"/>
      <c r="AE561" s="171"/>
      <c r="AF561" s="171"/>
      <c r="AG561" s="171" t="s">
        <v>148</v>
      </c>
      <c r="AH561" s="171">
        <v>0</v>
      </c>
      <c r="AI561" s="171"/>
      <c r="AJ561" s="171"/>
      <c r="AK561" s="171"/>
      <c r="AL561" s="171"/>
      <c r="AM561" s="171"/>
      <c r="AN561" s="171"/>
      <c r="AO561" s="171"/>
      <c r="AP561" s="171"/>
      <c r="AQ561" s="171"/>
      <c r="AR561" s="171"/>
      <c r="AS561" s="171"/>
      <c r="AT561" s="171"/>
      <c r="AU561" s="171"/>
      <c r="AV561" s="171"/>
      <c r="AW561" s="171"/>
      <c r="AX561" s="171"/>
      <c r="AY561" s="171"/>
      <c r="AZ561" s="171"/>
      <c r="BA561" s="171"/>
      <c r="BB561" s="171"/>
      <c r="BC561" s="171"/>
      <c r="BD561" s="171"/>
      <c r="BE561" s="171"/>
      <c r="BF561" s="171"/>
      <c r="BG561" s="171"/>
      <c r="BH561" s="171"/>
    </row>
    <row r="562" spans="1:60" outlineLevel="3" x14ac:dyDescent="0.2">
      <c r="A562" s="172"/>
      <c r="B562" s="173"/>
      <c r="C562" s="174" t="s">
        <v>247</v>
      </c>
      <c r="D562" s="175"/>
      <c r="E562" s="176">
        <v>7.4390999999999998</v>
      </c>
      <c r="F562" s="196"/>
      <c r="G562" s="169"/>
      <c r="H562" s="169"/>
      <c r="I562" s="169"/>
      <c r="J562" s="169"/>
      <c r="K562" s="169"/>
      <c r="L562" s="169"/>
      <c r="M562" s="169"/>
      <c r="N562" s="170"/>
      <c r="O562" s="170"/>
      <c r="P562" s="170"/>
      <c r="Q562" s="170"/>
      <c r="R562" s="169"/>
      <c r="S562" s="169"/>
      <c r="T562" s="169"/>
      <c r="U562" s="169"/>
      <c r="V562" s="169"/>
      <c r="W562" s="169"/>
      <c r="X562" s="169"/>
      <c r="Y562" s="169"/>
      <c r="Z562" s="171"/>
      <c r="AA562" s="171"/>
      <c r="AB562" s="171"/>
      <c r="AC562" s="171"/>
      <c r="AD562" s="171"/>
      <c r="AE562" s="171"/>
      <c r="AF562" s="171"/>
      <c r="AG562" s="171" t="s">
        <v>148</v>
      </c>
      <c r="AH562" s="171">
        <v>0</v>
      </c>
      <c r="AI562" s="171"/>
      <c r="AJ562" s="171"/>
      <c r="AK562" s="171"/>
      <c r="AL562" s="171"/>
      <c r="AM562" s="171"/>
      <c r="AN562" s="171"/>
      <c r="AO562" s="171"/>
      <c r="AP562" s="171"/>
      <c r="AQ562" s="171"/>
      <c r="AR562" s="171"/>
      <c r="AS562" s="171"/>
      <c r="AT562" s="171"/>
      <c r="AU562" s="171"/>
      <c r="AV562" s="171"/>
      <c r="AW562" s="171"/>
      <c r="AX562" s="171"/>
      <c r="AY562" s="171"/>
      <c r="AZ562" s="171"/>
      <c r="BA562" s="171"/>
      <c r="BB562" s="171"/>
      <c r="BC562" s="171"/>
      <c r="BD562" s="171"/>
      <c r="BE562" s="171"/>
      <c r="BF562" s="171"/>
      <c r="BG562" s="171"/>
      <c r="BH562" s="171"/>
    </row>
    <row r="563" spans="1:60" outlineLevel="3" x14ac:dyDescent="0.2">
      <c r="A563" s="172"/>
      <c r="B563" s="173"/>
      <c r="C563" s="174" t="s">
        <v>248</v>
      </c>
      <c r="D563" s="175"/>
      <c r="E563" s="176">
        <v>9.76</v>
      </c>
      <c r="F563" s="196"/>
      <c r="G563" s="169"/>
      <c r="H563" s="169"/>
      <c r="I563" s="169"/>
      <c r="J563" s="169"/>
      <c r="K563" s="169"/>
      <c r="L563" s="169"/>
      <c r="M563" s="169"/>
      <c r="N563" s="170"/>
      <c r="O563" s="170"/>
      <c r="P563" s="170"/>
      <c r="Q563" s="170"/>
      <c r="R563" s="169"/>
      <c r="S563" s="169"/>
      <c r="T563" s="169"/>
      <c r="U563" s="169"/>
      <c r="V563" s="169"/>
      <c r="W563" s="169"/>
      <c r="X563" s="169"/>
      <c r="Y563" s="169"/>
      <c r="Z563" s="171"/>
      <c r="AA563" s="171"/>
      <c r="AB563" s="171"/>
      <c r="AC563" s="171"/>
      <c r="AD563" s="171"/>
      <c r="AE563" s="171"/>
      <c r="AF563" s="171"/>
      <c r="AG563" s="171" t="s">
        <v>148</v>
      </c>
      <c r="AH563" s="171">
        <v>0</v>
      </c>
      <c r="AI563" s="171"/>
      <c r="AJ563" s="171"/>
      <c r="AK563" s="171"/>
      <c r="AL563" s="171"/>
      <c r="AM563" s="171"/>
      <c r="AN563" s="171"/>
      <c r="AO563" s="171"/>
      <c r="AP563" s="171"/>
      <c r="AQ563" s="171"/>
      <c r="AR563" s="171"/>
      <c r="AS563" s="171"/>
      <c r="AT563" s="171"/>
      <c r="AU563" s="171"/>
      <c r="AV563" s="171"/>
      <c r="AW563" s="171"/>
      <c r="AX563" s="171"/>
      <c r="AY563" s="171"/>
      <c r="AZ563" s="171"/>
      <c r="BA563" s="171"/>
      <c r="BB563" s="171"/>
      <c r="BC563" s="171"/>
      <c r="BD563" s="171"/>
      <c r="BE563" s="171"/>
      <c r="BF563" s="171"/>
      <c r="BG563" s="171"/>
      <c r="BH563" s="171"/>
    </row>
    <row r="564" spans="1:60" outlineLevel="3" x14ac:dyDescent="0.2">
      <c r="A564" s="172"/>
      <c r="B564" s="173"/>
      <c r="C564" s="174" t="s">
        <v>249</v>
      </c>
      <c r="D564" s="175"/>
      <c r="E564" s="176">
        <v>13.023999999999999</v>
      </c>
      <c r="F564" s="196"/>
      <c r="G564" s="169"/>
      <c r="H564" s="169"/>
      <c r="I564" s="169"/>
      <c r="J564" s="169"/>
      <c r="K564" s="169"/>
      <c r="L564" s="169"/>
      <c r="M564" s="169"/>
      <c r="N564" s="170"/>
      <c r="O564" s="170"/>
      <c r="P564" s="170"/>
      <c r="Q564" s="170"/>
      <c r="R564" s="169"/>
      <c r="S564" s="169"/>
      <c r="T564" s="169"/>
      <c r="U564" s="169"/>
      <c r="V564" s="169"/>
      <c r="W564" s="169"/>
      <c r="X564" s="169"/>
      <c r="Y564" s="169"/>
      <c r="Z564" s="171"/>
      <c r="AA564" s="171"/>
      <c r="AB564" s="171"/>
      <c r="AC564" s="171"/>
      <c r="AD564" s="171"/>
      <c r="AE564" s="171"/>
      <c r="AF564" s="171"/>
      <c r="AG564" s="171" t="s">
        <v>148</v>
      </c>
      <c r="AH564" s="171">
        <v>0</v>
      </c>
      <c r="AI564" s="171"/>
      <c r="AJ564" s="171"/>
      <c r="AK564" s="171"/>
      <c r="AL564" s="171"/>
      <c r="AM564" s="171"/>
      <c r="AN564" s="171"/>
      <c r="AO564" s="171"/>
      <c r="AP564" s="171"/>
      <c r="AQ564" s="171"/>
      <c r="AR564" s="171"/>
      <c r="AS564" s="171"/>
      <c r="AT564" s="171"/>
      <c r="AU564" s="171"/>
      <c r="AV564" s="171"/>
      <c r="AW564" s="171"/>
      <c r="AX564" s="171"/>
      <c r="AY564" s="171"/>
      <c r="AZ564" s="171"/>
      <c r="BA564" s="171"/>
      <c r="BB564" s="171"/>
      <c r="BC564" s="171"/>
      <c r="BD564" s="171"/>
      <c r="BE564" s="171"/>
      <c r="BF564" s="171"/>
      <c r="BG564" s="171"/>
      <c r="BH564" s="171"/>
    </row>
    <row r="565" spans="1:60" outlineLevel="3" x14ac:dyDescent="0.2">
      <c r="A565" s="172"/>
      <c r="B565" s="173"/>
      <c r="C565" s="174" t="s">
        <v>250</v>
      </c>
      <c r="D565" s="175"/>
      <c r="E565" s="176">
        <v>7.2484999999999999</v>
      </c>
      <c r="F565" s="196"/>
      <c r="G565" s="169"/>
      <c r="H565" s="169"/>
      <c r="I565" s="169"/>
      <c r="J565" s="169"/>
      <c r="K565" s="169"/>
      <c r="L565" s="169"/>
      <c r="M565" s="169"/>
      <c r="N565" s="170"/>
      <c r="O565" s="170"/>
      <c r="P565" s="170"/>
      <c r="Q565" s="170"/>
      <c r="R565" s="169"/>
      <c r="S565" s="169"/>
      <c r="T565" s="169"/>
      <c r="U565" s="169"/>
      <c r="V565" s="169"/>
      <c r="W565" s="169"/>
      <c r="X565" s="169"/>
      <c r="Y565" s="169"/>
      <c r="Z565" s="171"/>
      <c r="AA565" s="171"/>
      <c r="AB565" s="171"/>
      <c r="AC565" s="171"/>
      <c r="AD565" s="171"/>
      <c r="AE565" s="171"/>
      <c r="AF565" s="171"/>
      <c r="AG565" s="171" t="s">
        <v>148</v>
      </c>
      <c r="AH565" s="171">
        <v>0</v>
      </c>
      <c r="AI565" s="171"/>
      <c r="AJ565" s="171"/>
      <c r="AK565" s="171"/>
      <c r="AL565" s="171"/>
      <c r="AM565" s="171"/>
      <c r="AN565" s="171"/>
      <c r="AO565" s="171"/>
      <c r="AP565" s="171"/>
      <c r="AQ565" s="171"/>
      <c r="AR565" s="171"/>
      <c r="AS565" s="171"/>
      <c r="AT565" s="171"/>
      <c r="AU565" s="171"/>
      <c r="AV565" s="171"/>
      <c r="AW565" s="171"/>
      <c r="AX565" s="171"/>
      <c r="AY565" s="171"/>
      <c r="AZ565" s="171"/>
      <c r="BA565" s="171"/>
      <c r="BB565" s="171"/>
      <c r="BC565" s="171"/>
      <c r="BD565" s="171"/>
      <c r="BE565" s="171"/>
      <c r="BF565" s="171"/>
      <c r="BG565" s="171"/>
      <c r="BH565" s="171"/>
    </row>
    <row r="566" spans="1:60" outlineLevel="3" x14ac:dyDescent="0.2">
      <c r="A566" s="172"/>
      <c r="B566" s="173"/>
      <c r="C566" s="174" t="s">
        <v>251</v>
      </c>
      <c r="D566" s="175"/>
      <c r="E566" s="176">
        <v>13.087999999999999</v>
      </c>
      <c r="F566" s="196"/>
      <c r="G566" s="169"/>
      <c r="H566" s="169"/>
      <c r="I566" s="169"/>
      <c r="J566" s="169"/>
      <c r="K566" s="169"/>
      <c r="L566" s="169"/>
      <c r="M566" s="169"/>
      <c r="N566" s="170"/>
      <c r="O566" s="170"/>
      <c r="P566" s="170"/>
      <c r="Q566" s="170"/>
      <c r="R566" s="169"/>
      <c r="S566" s="169"/>
      <c r="T566" s="169"/>
      <c r="U566" s="169"/>
      <c r="V566" s="169"/>
      <c r="W566" s="169"/>
      <c r="X566" s="169"/>
      <c r="Y566" s="169"/>
      <c r="Z566" s="171"/>
      <c r="AA566" s="171"/>
      <c r="AB566" s="171"/>
      <c r="AC566" s="171"/>
      <c r="AD566" s="171"/>
      <c r="AE566" s="171"/>
      <c r="AF566" s="171"/>
      <c r="AG566" s="171" t="s">
        <v>148</v>
      </c>
      <c r="AH566" s="171">
        <v>0</v>
      </c>
      <c r="AI566" s="171"/>
      <c r="AJ566" s="171"/>
      <c r="AK566" s="171"/>
      <c r="AL566" s="171"/>
      <c r="AM566" s="171"/>
      <c r="AN566" s="171"/>
      <c r="AO566" s="171"/>
      <c r="AP566" s="171"/>
      <c r="AQ566" s="171"/>
      <c r="AR566" s="171"/>
      <c r="AS566" s="171"/>
      <c r="AT566" s="171"/>
      <c r="AU566" s="171"/>
      <c r="AV566" s="171"/>
      <c r="AW566" s="171"/>
      <c r="AX566" s="171"/>
      <c r="AY566" s="171"/>
      <c r="AZ566" s="171"/>
      <c r="BA566" s="171"/>
      <c r="BB566" s="171"/>
      <c r="BC566" s="171"/>
      <c r="BD566" s="171"/>
      <c r="BE566" s="171"/>
      <c r="BF566" s="171"/>
      <c r="BG566" s="171"/>
      <c r="BH566" s="171"/>
    </row>
    <row r="567" spans="1:60" outlineLevel="3" x14ac:dyDescent="0.2">
      <c r="A567" s="172"/>
      <c r="B567" s="173"/>
      <c r="C567" s="174" t="s">
        <v>252</v>
      </c>
      <c r="D567" s="175"/>
      <c r="E567" s="176">
        <v>8.6720000000000006</v>
      </c>
      <c r="F567" s="196"/>
      <c r="G567" s="169"/>
      <c r="H567" s="169"/>
      <c r="I567" s="169"/>
      <c r="J567" s="169"/>
      <c r="K567" s="169"/>
      <c r="L567" s="169"/>
      <c r="M567" s="169"/>
      <c r="N567" s="170"/>
      <c r="O567" s="170"/>
      <c r="P567" s="170"/>
      <c r="Q567" s="170"/>
      <c r="R567" s="169"/>
      <c r="S567" s="169"/>
      <c r="T567" s="169"/>
      <c r="U567" s="169"/>
      <c r="V567" s="169"/>
      <c r="W567" s="169"/>
      <c r="X567" s="169"/>
      <c r="Y567" s="169"/>
      <c r="Z567" s="171"/>
      <c r="AA567" s="171"/>
      <c r="AB567" s="171"/>
      <c r="AC567" s="171"/>
      <c r="AD567" s="171"/>
      <c r="AE567" s="171"/>
      <c r="AF567" s="171"/>
      <c r="AG567" s="171" t="s">
        <v>148</v>
      </c>
      <c r="AH567" s="171">
        <v>0</v>
      </c>
      <c r="AI567" s="171"/>
      <c r="AJ567" s="171"/>
      <c r="AK567" s="171"/>
      <c r="AL567" s="171"/>
      <c r="AM567" s="171"/>
      <c r="AN567" s="171"/>
      <c r="AO567" s="171"/>
      <c r="AP567" s="171"/>
      <c r="AQ567" s="171"/>
      <c r="AR567" s="171"/>
      <c r="AS567" s="171"/>
      <c r="AT567" s="171"/>
      <c r="AU567" s="171"/>
      <c r="AV567" s="171"/>
      <c r="AW567" s="171"/>
      <c r="AX567" s="171"/>
      <c r="AY567" s="171"/>
      <c r="AZ567" s="171"/>
      <c r="BA567" s="171"/>
      <c r="BB567" s="171"/>
      <c r="BC567" s="171"/>
      <c r="BD567" s="171"/>
      <c r="BE567" s="171"/>
      <c r="BF567" s="171"/>
      <c r="BG567" s="171"/>
      <c r="BH567" s="171"/>
    </row>
    <row r="568" spans="1:60" outlineLevel="3" x14ac:dyDescent="0.2">
      <c r="A568" s="172"/>
      <c r="B568" s="173"/>
      <c r="C568" s="174" t="s">
        <v>253</v>
      </c>
      <c r="D568" s="175"/>
      <c r="E568" s="176">
        <v>7.1680000000000001</v>
      </c>
      <c r="F568" s="196"/>
      <c r="G568" s="169"/>
      <c r="H568" s="169"/>
      <c r="I568" s="169"/>
      <c r="J568" s="169"/>
      <c r="K568" s="169"/>
      <c r="L568" s="169"/>
      <c r="M568" s="169"/>
      <c r="N568" s="170"/>
      <c r="O568" s="170"/>
      <c r="P568" s="170"/>
      <c r="Q568" s="170"/>
      <c r="R568" s="169"/>
      <c r="S568" s="169"/>
      <c r="T568" s="169"/>
      <c r="U568" s="169"/>
      <c r="V568" s="169"/>
      <c r="W568" s="169"/>
      <c r="X568" s="169"/>
      <c r="Y568" s="169"/>
      <c r="Z568" s="171"/>
      <c r="AA568" s="171"/>
      <c r="AB568" s="171"/>
      <c r="AC568" s="171"/>
      <c r="AD568" s="171"/>
      <c r="AE568" s="171"/>
      <c r="AF568" s="171"/>
      <c r="AG568" s="171" t="s">
        <v>148</v>
      </c>
      <c r="AH568" s="171">
        <v>0</v>
      </c>
      <c r="AI568" s="171"/>
      <c r="AJ568" s="171"/>
      <c r="AK568" s="171"/>
      <c r="AL568" s="171"/>
      <c r="AM568" s="171"/>
      <c r="AN568" s="171"/>
      <c r="AO568" s="171"/>
      <c r="AP568" s="171"/>
      <c r="AQ568" s="171"/>
      <c r="AR568" s="171"/>
      <c r="AS568" s="171"/>
      <c r="AT568" s="171"/>
      <c r="AU568" s="171"/>
      <c r="AV568" s="171"/>
      <c r="AW568" s="171"/>
      <c r="AX568" s="171"/>
      <c r="AY568" s="171"/>
      <c r="AZ568" s="171"/>
      <c r="BA568" s="171"/>
      <c r="BB568" s="171"/>
      <c r="BC568" s="171"/>
      <c r="BD568" s="171"/>
      <c r="BE568" s="171"/>
      <c r="BF568" s="171"/>
      <c r="BG568" s="171"/>
      <c r="BH568" s="171"/>
    </row>
    <row r="569" spans="1:60" outlineLevel="3" x14ac:dyDescent="0.2">
      <c r="A569" s="172"/>
      <c r="B569" s="173"/>
      <c r="C569" s="174" t="s">
        <v>151</v>
      </c>
      <c r="D569" s="175"/>
      <c r="E569" s="176"/>
      <c r="F569" s="196"/>
      <c r="G569" s="169"/>
      <c r="H569" s="169"/>
      <c r="I569" s="169"/>
      <c r="J569" s="169"/>
      <c r="K569" s="169"/>
      <c r="L569" s="169"/>
      <c r="M569" s="169"/>
      <c r="N569" s="170"/>
      <c r="O569" s="170"/>
      <c r="P569" s="170"/>
      <c r="Q569" s="170"/>
      <c r="R569" s="169"/>
      <c r="S569" s="169"/>
      <c r="T569" s="169"/>
      <c r="U569" s="169"/>
      <c r="V569" s="169"/>
      <c r="W569" s="169"/>
      <c r="X569" s="169"/>
      <c r="Y569" s="169"/>
      <c r="Z569" s="171"/>
      <c r="AA569" s="171"/>
      <c r="AB569" s="171"/>
      <c r="AC569" s="171"/>
      <c r="AD569" s="171"/>
      <c r="AE569" s="171"/>
      <c r="AF569" s="171"/>
      <c r="AG569" s="171" t="s">
        <v>148</v>
      </c>
      <c r="AH569" s="171">
        <v>0</v>
      </c>
      <c r="AI569" s="171"/>
      <c r="AJ569" s="171"/>
      <c r="AK569" s="171"/>
      <c r="AL569" s="171"/>
      <c r="AM569" s="171"/>
      <c r="AN569" s="171"/>
      <c r="AO569" s="171"/>
      <c r="AP569" s="171"/>
      <c r="AQ569" s="171"/>
      <c r="AR569" s="171"/>
      <c r="AS569" s="171"/>
      <c r="AT569" s="171"/>
      <c r="AU569" s="171"/>
      <c r="AV569" s="171"/>
      <c r="AW569" s="171"/>
      <c r="AX569" s="171"/>
      <c r="AY569" s="171"/>
      <c r="AZ569" s="171"/>
      <c r="BA569" s="171"/>
      <c r="BB569" s="171"/>
      <c r="BC569" s="171"/>
      <c r="BD569" s="171"/>
      <c r="BE569" s="171"/>
      <c r="BF569" s="171"/>
      <c r="BG569" s="171"/>
      <c r="BH569" s="171"/>
    </row>
    <row r="570" spans="1:60" outlineLevel="3" x14ac:dyDescent="0.2">
      <c r="A570" s="172"/>
      <c r="B570" s="173"/>
      <c r="C570" s="174" t="s">
        <v>254</v>
      </c>
      <c r="D570" s="175"/>
      <c r="E570" s="176">
        <v>9.44</v>
      </c>
      <c r="F570" s="196"/>
      <c r="G570" s="169"/>
      <c r="H570" s="169"/>
      <c r="I570" s="169"/>
      <c r="J570" s="169"/>
      <c r="K570" s="169"/>
      <c r="L570" s="169"/>
      <c r="M570" s="169"/>
      <c r="N570" s="170"/>
      <c r="O570" s="170"/>
      <c r="P570" s="170"/>
      <c r="Q570" s="170"/>
      <c r="R570" s="169"/>
      <c r="S570" s="169"/>
      <c r="T570" s="169"/>
      <c r="U570" s="169"/>
      <c r="V570" s="169"/>
      <c r="W570" s="169"/>
      <c r="X570" s="169"/>
      <c r="Y570" s="169"/>
      <c r="Z570" s="171"/>
      <c r="AA570" s="171"/>
      <c r="AB570" s="171"/>
      <c r="AC570" s="171"/>
      <c r="AD570" s="171"/>
      <c r="AE570" s="171"/>
      <c r="AF570" s="171"/>
      <c r="AG570" s="171" t="s">
        <v>148</v>
      </c>
      <c r="AH570" s="171">
        <v>0</v>
      </c>
      <c r="AI570" s="171"/>
      <c r="AJ570" s="171"/>
      <c r="AK570" s="171"/>
      <c r="AL570" s="171"/>
      <c r="AM570" s="171"/>
      <c r="AN570" s="171"/>
      <c r="AO570" s="171"/>
      <c r="AP570" s="171"/>
      <c r="AQ570" s="171"/>
      <c r="AR570" s="171"/>
      <c r="AS570" s="171"/>
      <c r="AT570" s="171"/>
      <c r="AU570" s="171"/>
      <c r="AV570" s="171"/>
      <c r="AW570" s="171"/>
      <c r="AX570" s="171"/>
      <c r="AY570" s="171"/>
      <c r="AZ570" s="171"/>
      <c r="BA570" s="171"/>
      <c r="BB570" s="171"/>
      <c r="BC570" s="171"/>
      <c r="BD570" s="171"/>
      <c r="BE570" s="171"/>
      <c r="BF570" s="171"/>
      <c r="BG570" s="171"/>
      <c r="BH570" s="171"/>
    </row>
    <row r="571" spans="1:60" outlineLevel="3" x14ac:dyDescent="0.2">
      <c r="A571" s="172"/>
      <c r="B571" s="173"/>
      <c r="C571" s="174" t="s">
        <v>255</v>
      </c>
      <c r="D571" s="175"/>
      <c r="E571" s="176">
        <v>7.0103</v>
      </c>
      <c r="F571" s="196"/>
      <c r="G571" s="169"/>
      <c r="H571" s="169"/>
      <c r="I571" s="169"/>
      <c r="J571" s="169"/>
      <c r="K571" s="169"/>
      <c r="L571" s="169"/>
      <c r="M571" s="169"/>
      <c r="N571" s="170"/>
      <c r="O571" s="170"/>
      <c r="P571" s="170"/>
      <c r="Q571" s="170"/>
      <c r="R571" s="169"/>
      <c r="S571" s="169"/>
      <c r="T571" s="169"/>
      <c r="U571" s="169"/>
      <c r="V571" s="169"/>
      <c r="W571" s="169"/>
      <c r="X571" s="169"/>
      <c r="Y571" s="169"/>
      <c r="Z571" s="171"/>
      <c r="AA571" s="171"/>
      <c r="AB571" s="171"/>
      <c r="AC571" s="171"/>
      <c r="AD571" s="171"/>
      <c r="AE571" s="171"/>
      <c r="AF571" s="171"/>
      <c r="AG571" s="171" t="s">
        <v>148</v>
      </c>
      <c r="AH571" s="171">
        <v>0</v>
      </c>
      <c r="AI571" s="171"/>
      <c r="AJ571" s="171"/>
      <c r="AK571" s="171"/>
      <c r="AL571" s="171"/>
      <c r="AM571" s="171"/>
      <c r="AN571" s="171"/>
      <c r="AO571" s="171"/>
      <c r="AP571" s="171"/>
      <c r="AQ571" s="171"/>
      <c r="AR571" s="171"/>
      <c r="AS571" s="171"/>
      <c r="AT571" s="171"/>
      <c r="AU571" s="171"/>
      <c r="AV571" s="171"/>
      <c r="AW571" s="171"/>
      <c r="AX571" s="171"/>
      <c r="AY571" s="171"/>
      <c r="AZ571" s="171"/>
      <c r="BA571" s="171"/>
      <c r="BB571" s="171"/>
      <c r="BC571" s="171"/>
      <c r="BD571" s="171"/>
      <c r="BE571" s="171"/>
      <c r="BF571" s="171"/>
      <c r="BG571" s="171"/>
      <c r="BH571" s="171"/>
    </row>
    <row r="572" spans="1:60" outlineLevel="3" x14ac:dyDescent="0.2">
      <c r="A572" s="172"/>
      <c r="B572" s="173"/>
      <c r="C572" s="174" t="s">
        <v>256</v>
      </c>
      <c r="D572" s="175"/>
      <c r="E572" s="176">
        <v>9.6639999999999997</v>
      </c>
      <c r="F572" s="196"/>
      <c r="G572" s="169"/>
      <c r="H572" s="169"/>
      <c r="I572" s="169"/>
      <c r="J572" s="169"/>
      <c r="K572" s="169"/>
      <c r="L572" s="169"/>
      <c r="M572" s="169"/>
      <c r="N572" s="170"/>
      <c r="O572" s="170"/>
      <c r="P572" s="170"/>
      <c r="Q572" s="170"/>
      <c r="R572" s="169"/>
      <c r="S572" s="169"/>
      <c r="T572" s="169"/>
      <c r="U572" s="169"/>
      <c r="V572" s="169"/>
      <c r="W572" s="169"/>
      <c r="X572" s="169"/>
      <c r="Y572" s="169"/>
      <c r="Z572" s="171"/>
      <c r="AA572" s="171"/>
      <c r="AB572" s="171"/>
      <c r="AC572" s="171"/>
      <c r="AD572" s="171"/>
      <c r="AE572" s="171"/>
      <c r="AF572" s="171"/>
      <c r="AG572" s="171" t="s">
        <v>148</v>
      </c>
      <c r="AH572" s="171">
        <v>0</v>
      </c>
      <c r="AI572" s="171"/>
      <c r="AJ572" s="171"/>
      <c r="AK572" s="171"/>
      <c r="AL572" s="171"/>
      <c r="AM572" s="171"/>
      <c r="AN572" s="171"/>
      <c r="AO572" s="171"/>
      <c r="AP572" s="171"/>
      <c r="AQ572" s="171"/>
      <c r="AR572" s="171"/>
      <c r="AS572" s="171"/>
      <c r="AT572" s="171"/>
      <c r="AU572" s="171"/>
      <c r="AV572" s="171"/>
      <c r="AW572" s="171"/>
      <c r="AX572" s="171"/>
      <c r="AY572" s="171"/>
      <c r="AZ572" s="171"/>
      <c r="BA572" s="171"/>
      <c r="BB572" s="171"/>
      <c r="BC572" s="171"/>
      <c r="BD572" s="171"/>
      <c r="BE572" s="171"/>
      <c r="BF572" s="171"/>
      <c r="BG572" s="171"/>
      <c r="BH572" s="171"/>
    </row>
    <row r="573" spans="1:60" outlineLevel="3" x14ac:dyDescent="0.2">
      <c r="A573" s="172"/>
      <c r="B573" s="173"/>
      <c r="C573" s="174" t="s">
        <v>257</v>
      </c>
      <c r="D573" s="175"/>
      <c r="E573" s="176">
        <v>7.1620999999999997</v>
      </c>
      <c r="F573" s="196"/>
      <c r="G573" s="169"/>
      <c r="H573" s="169"/>
      <c r="I573" s="169"/>
      <c r="J573" s="169"/>
      <c r="K573" s="169"/>
      <c r="L573" s="169"/>
      <c r="M573" s="169"/>
      <c r="N573" s="170"/>
      <c r="O573" s="170"/>
      <c r="P573" s="170"/>
      <c r="Q573" s="170"/>
      <c r="R573" s="169"/>
      <c r="S573" s="169"/>
      <c r="T573" s="169"/>
      <c r="U573" s="169"/>
      <c r="V573" s="169"/>
      <c r="W573" s="169"/>
      <c r="X573" s="169"/>
      <c r="Y573" s="169"/>
      <c r="Z573" s="171"/>
      <c r="AA573" s="171"/>
      <c r="AB573" s="171"/>
      <c r="AC573" s="171"/>
      <c r="AD573" s="171"/>
      <c r="AE573" s="171"/>
      <c r="AF573" s="171"/>
      <c r="AG573" s="171" t="s">
        <v>148</v>
      </c>
      <c r="AH573" s="171">
        <v>0</v>
      </c>
      <c r="AI573" s="171"/>
      <c r="AJ573" s="171"/>
      <c r="AK573" s="171"/>
      <c r="AL573" s="171"/>
      <c r="AM573" s="171"/>
      <c r="AN573" s="171"/>
      <c r="AO573" s="171"/>
      <c r="AP573" s="171"/>
      <c r="AQ573" s="171"/>
      <c r="AR573" s="171"/>
      <c r="AS573" s="171"/>
      <c r="AT573" s="171"/>
      <c r="AU573" s="171"/>
      <c r="AV573" s="171"/>
      <c r="AW573" s="171"/>
      <c r="AX573" s="171"/>
      <c r="AY573" s="171"/>
      <c r="AZ573" s="171"/>
      <c r="BA573" s="171"/>
      <c r="BB573" s="171"/>
      <c r="BC573" s="171"/>
      <c r="BD573" s="171"/>
      <c r="BE573" s="171"/>
      <c r="BF573" s="171"/>
      <c r="BG573" s="171"/>
      <c r="BH573" s="171"/>
    </row>
    <row r="574" spans="1:60" outlineLevel="3" x14ac:dyDescent="0.2">
      <c r="A574" s="172"/>
      <c r="B574" s="173"/>
      <c r="C574" s="174" t="s">
        <v>258</v>
      </c>
      <c r="D574" s="175"/>
      <c r="E574" s="176">
        <v>12.864000000000001</v>
      </c>
      <c r="F574" s="196"/>
      <c r="G574" s="169"/>
      <c r="H574" s="169"/>
      <c r="I574" s="169"/>
      <c r="J574" s="169"/>
      <c r="K574" s="169"/>
      <c r="L574" s="169"/>
      <c r="M574" s="169"/>
      <c r="N574" s="170"/>
      <c r="O574" s="170"/>
      <c r="P574" s="170"/>
      <c r="Q574" s="170"/>
      <c r="R574" s="169"/>
      <c r="S574" s="169"/>
      <c r="T574" s="169"/>
      <c r="U574" s="169"/>
      <c r="V574" s="169"/>
      <c r="W574" s="169"/>
      <c r="X574" s="169"/>
      <c r="Y574" s="169"/>
      <c r="Z574" s="171"/>
      <c r="AA574" s="171"/>
      <c r="AB574" s="171"/>
      <c r="AC574" s="171"/>
      <c r="AD574" s="171"/>
      <c r="AE574" s="171"/>
      <c r="AF574" s="171"/>
      <c r="AG574" s="171" t="s">
        <v>148</v>
      </c>
      <c r="AH574" s="171">
        <v>0</v>
      </c>
      <c r="AI574" s="171"/>
      <c r="AJ574" s="171"/>
      <c r="AK574" s="171"/>
      <c r="AL574" s="171"/>
      <c r="AM574" s="171"/>
      <c r="AN574" s="171"/>
      <c r="AO574" s="171"/>
      <c r="AP574" s="171"/>
      <c r="AQ574" s="171"/>
      <c r="AR574" s="171"/>
      <c r="AS574" s="171"/>
      <c r="AT574" s="171"/>
      <c r="AU574" s="171"/>
      <c r="AV574" s="171"/>
      <c r="AW574" s="171"/>
      <c r="AX574" s="171"/>
      <c r="AY574" s="171"/>
      <c r="AZ574" s="171"/>
      <c r="BA574" s="171"/>
      <c r="BB574" s="171"/>
      <c r="BC574" s="171"/>
      <c r="BD574" s="171"/>
      <c r="BE574" s="171"/>
      <c r="BF574" s="171"/>
      <c r="BG574" s="171"/>
      <c r="BH574" s="171"/>
    </row>
    <row r="575" spans="1:60" outlineLevel="3" x14ac:dyDescent="0.2">
      <c r="A575" s="172"/>
      <c r="B575" s="173"/>
      <c r="C575" s="174" t="s">
        <v>259</v>
      </c>
      <c r="D575" s="175"/>
      <c r="E575" s="176">
        <v>8.2560000000000002</v>
      </c>
      <c r="F575" s="196"/>
      <c r="G575" s="169"/>
      <c r="H575" s="169"/>
      <c r="I575" s="169"/>
      <c r="J575" s="169"/>
      <c r="K575" s="169"/>
      <c r="L575" s="169"/>
      <c r="M575" s="169"/>
      <c r="N575" s="170"/>
      <c r="O575" s="170"/>
      <c r="P575" s="170"/>
      <c r="Q575" s="170"/>
      <c r="R575" s="169"/>
      <c r="S575" s="169"/>
      <c r="T575" s="169"/>
      <c r="U575" s="169"/>
      <c r="V575" s="169"/>
      <c r="W575" s="169"/>
      <c r="X575" s="169"/>
      <c r="Y575" s="169"/>
      <c r="Z575" s="171"/>
      <c r="AA575" s="171"/>
      <c r="AB575" s="171"/>
      <c r="AC575" s="171"/>
      <c r="AD575" s="171"/>
      <c r="AE575" s="171"/>
      <c r="AF575" s="171"/>
      <c r="AG575" s="171" t="s">
        <v>148</v>
      </c>
      <c r="AH575" s="171">
        <v>0</v>
      </c>
      <c r="AI575" s="171"/>
      <c r="AJ575" s="171"/>
      <c r="AK575" s="171"/>
      <c r="AL575" s="171"/>
      <c r="AM575" s="171"/>
      <c r="AN575" s="171"/>
      <c r="AO575" s="171"/>
      <c r="AP575" s="171"/>
      <c r="AQ575" s="171"/>
      <c r="AR575" s="171"/>
      <c r="AS575" s="171"/>
      <c r="AT575" s="171"/>
      <c r="AU575" s="171"/>
      <c r="AV575" s="171"/>
      <c r="AW575" s="171"/>
      <c r="AX575" s="171"/>
      <c r="AY575" s="171"/>
      <c r="AZ575" s="171"/>
      <c r="BA575" s="171"/>
      <c r="BB575" s="171"/>
      <c r="BC575" s="171"/>
      <c r="BD575" s="171"/>
      <c r="BE575" s="171"/>
      <c r="BF575" s="171"/>
      <c r="BG575" s="171"/>
      <c r="BH575" s="171"/>
    </row>
    <row r="576" spans="1:60" outlineLevel="3" x14ac:dyDescent="0.2">
      <c r="A576" s="172"/>
      <c r="B576" s="173"/>
      <c r="C576" s="174" t="s">
        <v>260</v>
      </c>
      <c r="D576" s="175"/>
      <c r="E576" s="176">
        <v>7.3280000000000003</v>
      </c>
      <c r="F576" s="196"/>
      <c r="G576" s="169"/>
      <c r="H576" s="169"/>
      <c r="I576" s="169"/>
      <c r="J576" s="169"/>
      <c r="K576" s="169"/>
      <c r="L576" s="169"/>
      <c r="M576" s="169"/>
      <c r="N576" s="170"/>
      <c r="O576" s="170"/>
      <c r="P576" s="170"/>
      <c r="Q576" s="170"/>
      <c r="R576" s="169"/>
      <c r="S576" s="169"/>
      <c r="T576" s="169"/>
      <c r="U576" s="169"/>
      <c r="V576" s="169"/>
      <c r="W576" s="169"/>
      <c r="X576" s="169"/>
      <c r="Y576" s="169"/>
      <c r="Z576" s="171"/>
      <c r="AA576" s="171"/>
      <c r="AB576" s="171"/>
      <c r="AC576" s="171"/>
      <c r="AD576" s="171"/>
      <c r="AE576" s="171"/>
      <c r="AF576" s="171"/>
      <c r="AG576" s="171" t="s">
        <v>148</v>
      </c>
      <c r="AH576" s="171">
        <v>0</v>
      </c>
      <c r="AI576" s="171"/>
      <c r="AJ576" s="171"/>
      <c r="AK576" s="171"/>
      <c r="AL576" s="171"/>
      <c r="AM576" s="171"/>
      <c r="AN576" s="171"/>
      <c r="AO576" s="171"/>
      <c r="AP576" s="171"/>
      <c r="AQ576" s="171"/>
      <c r="AR576" s="171"/>
      <c r="AS576" s="171"/>
      <c r="AT576" s="171"/>
      <c r="AU576" s="171"/>
      <c r="AV576" s="171"/>
      <c r="AW576" s="171"/>
      <c r="AX576" s="171"/>
      <c r="AY576" s="171"/>
      <c r="AZ576" s="171"/>
      <c r="BA576" s="171"/>
      <c r="BB576" s="171"/>
      <c r="BC576" s="171"/>
      <c r="BD576" s="171"/>
      <c r="BE576" s="171"/>
      <c r="BF576" s="171"/>
      <c r="BG576" s="171"/>
      <c r="BH576" s="171"/>
    </row>
    <row r="577" spans="1:60" outlineLevel="3" x14ac:dyDescent="0.2">
      <c r="A577" s="172"/>
      <c r="B577" s="173"/>
      <c r="C577" s="174" t="s">
        <v>261</v>
      </c>
      <c r="D577" s="175"/>
      <c r="E577" s="176">
        <v>10.688000000000001</v>
      </c>
      <c r="F577" s="196"/>
      <c r="G577" s="169"/>
      <c r="H577" s="169"/>
      <c r="I577" s="169"/>
      <c r="J577" s="169"/>
      <c r="K577" s="169"/>
      <c r="L577" s="169"/>
      <c r="M577" s="169"/>
      <c r="N577" s="170"/>
      <c r="O577" s="170"/>
      <c r="P577" s="170"/>
      <c r="Q577" s="170"/>
      <c r="R577" s="169"/>
      <c r="S577" s="169"/>
      <c r="T577" s="169"/>
      <c r="U577" s="169"/>
      <c r="V577" s="169"/>
      <c r="W577" s="169"/>
      <c r="X577" s="169"/>
      <c r="Y577" s="169"/>
      <c r="Z577" s="171"/>
      <c r="AA577" s="171"/>
      <c r="AB577" s="171"/>
      <c r="AC577" s="171"/>
      <c r="AD577" s="171"/>
      <c r="AE577" s="171"/>
      <c r="AF577" s="171"/>
      <c r="AG577" s="171" t="s">
        <v>148</v>
      </c>
      <c r="AH577" s="171">
        <v>0</v>
      </c>
      <c r="AI577" s="171"/>
      <c r="AJ577" s="171"/>
      <c r="AK577" s="171"/>
      <c r="AL577" s="171"/>
      <c r="AM577" s="171"/>
      <c r="AN577" s="171"/>
      <c r="AO577" s="171"/>
      <c r="AP577" s="171"/>
      <c r="AQ577" s="171"/>
      <c r="AR577" s="171"/>
      <c r="AS577" s="171"/>
      <c r="AT577" s="171"/>
      <c r="AU577" s="171"/>
      <c r="AV577" s="171"/>
      <c r="AW577" s="171"/>
      <c r="AX577" s="171"/>
      <c r="AY577" s="171"/>
      <c r="AZ577" s="171"/>
      <c r="BA577" s="171"/>
      <c r="BB577" s="171"/>
      <c r="BC577" s="171"/>
      <c r="BD577" s="171"/>
      <c r="BE577" s="171"/>
      <c r="BF577" s="171"/>
      <c r="BG577" s="171"/>
      <c r="BH577" s="171"/>
    </row>
    <row r="578" spans="1:60" outlineLevel="3" x14ac:dyDescent="0.2">
      <c r="A578" s="172"/>
      <c r="B578" s="173"/>
      <c r="C578" s="174" t="s">
        <v>152</v>
      </c>
      <c r="D578" s="175"/>
      <c r="E578" s="176"/>
      <c r="F578" s="196"/>
      <c r="G578" s="169"/>
      <c r="H578" s="169"/>
      <c r="I578" s="169"/>
      <c r="J578" s="169"/>
      <c r="K578" s="169"/>
      <c r="L578" s="169"/>
      <c r="M578" s="169"/>
      <c r="N578" s="170"/>
      <c r="O578" s="170"/>
      <c r="P578" s="170"/>
      <c r="Q578" s="170"/>
      <c r="R578" s="169"/>
      <c r="S578" s="169"/>
      <c r="T578" s="169"/>
      <c r="U578" s="169"/>
      <c r="V578" s="169"/>
      <c r="W578" s="169"/>
      <c r="X578" s="169"/>
      <c r="Y578" s="169"/>
      <c r="Z578" s="171"/>
      <c r="AA578" s="171"/>
      <c r="AB578" s="171"/>
      <c r="AC578" s="171"/>
      <c r="AD578" s="171"/>
      <c r="AE578" s="171"/>
      <c r="AF578" s="171"/>
      <c r="AG578" s="171" t="s">
        <v>148</v>
      </c>
      <c r="AH578" s="171">
        <v>0</v>
      </c>
      <c r="AI578" s="171"/>
      <c r="AJ578" s="171"/>
      <c r="AK578" s="171"/>
      <c r="AL578" s="171"/>
      <c r="AM578" s="171"/>
      <c r="AN578" s="171"/>
      <c r="AO578" s="171"/>
      <c r="AP578" s="171"/>
      <c r="AQ578" s="171"/>
      <c r="AR578" s="171"/>
      <c r="AS578" s="171"/>
      <c r="AT578" s="171"/>
      <c r="AU578" s="171"/>
      <c r="AV578" s="171"/>
      <c r="AW578" s="171"/>
      <c r="AX578" s="171"/>
      <c r="AY578" s="171"/>
      <c r="AZ578" s="171"/>
      <c r="BA578" s="171"/>
      <c r="BB578" s="171"/>
      <c r="BC578" s="171"/>
      <c r="BD578" s="171"/>
      <c r="BE578" s="171"/>
      <c r="BF578" s="171"/>
      <c r="BG578" s="171"/>
      <c r="BH578" s="171"/>
    </row>
    <row r="579" spans="1:60" outlineLevel="3" x14ac:dyDescent="0.2">
      <c r="A579" s="172"/>
      <c r="B579" s="173"/>
      <c r="C579" s="174" t="s">
        <v>254</v>
      </c>
      <c r="D579" s="175"/>
      <c r="E579" s="176">
        <v>9.44</v>
      </c>
      <c r="F579" s="196"/>
      <c r="G579" s="169"/>
      <c r="H579" s="169"/>
      <c r="I579" s="169"/>
      <c r="J579" s="169"/>
      <c r="K579" s="169"/>
      <c r="L579" s="169"/>
      <c r="M579" s="169"/>
      <c r="N579" s="170"/>
      <c r="O579" s="170"/>
      <c r="P579" s="170"/>
      <c r="Q579" s="170"/>
      <c r="R579" s="169"/>
      <c r="S579" s="169"/>
      <c r="T579" s="169"/>
      <c r="U579" s="169"/>
      <c r="V579" s="169"/>
      <c r="W579" s="169"/>
      <c r="X579" s="169"/>
      <c r="Y579" s="169"/>
      <c r="Z579" s="171"/>
      <c r="AA579" s="171"/>
      <c r="AB579" s="171"/>
      <c r="AC579" s="171"/>
      <c r="AD579" s="171"/>
      <c r="AE579" s="171"/>
      <c r="AF579" s="171"/>
      <c r="AG579" s="171" t="s">
        <v>148</v>
      </c>
      <c r="AH579" s="171">
        <v>0</v>
      </c>
      <c r="AI579" s="171"/>
      <c r="AJ579" s="171"/>
      <c r="AK579" s="171"/>
      <c r="AL579" s="171"/>
      <c r="AM579" s="171"/>
      <c r="AN579" s="171"/>
      <c r="AO579" s="171"/>
      <c r="AP579" s="171"/>
      <c r="AQ579" s="171"/>
      <c r="AR579" s="171"/>
      <c r="AS579" s="171"/>
      <c r="AT579" s="171"/>
      <c r="AU579" s="171"/>
      <c r="AV579" s="171"/>
      <c r="AW579" s="171"/>
      <c r="AX579" s="171"/>
      <c r="AY579" s="171"/>
      <c r="AZ579" s="171"/>
      <c r="BA579" s="171"/>
      <c r="BB579" s="171"/>
      <c r="BC579" s="171"/>
      <c r="BD579" s="171"/>
      <c r="BE579" s="171"/>
      <c r="BF579" s="171"/>
      <c r="BG579" s="171"/>
      <c r="BH579" s="171"/>
    </row>
    <row r="580" spans="1:60" outlineLevel="3" x14ac:dyDescent="0.2">
      <c r="A580" s="172"/>
      <c r="B580" s="173"/>
      <c r="C580" s="174" t="s">
        <v>262</v>
      </c>
      <c r="D580" s="175"/>
      <c r="E580" s="176">
        <v>6.976</v>
      </c>
      <c r="F580" s="196"/>
      <c r="G580" s="169"/>
      <c r="H580" s="169"/>
      <c r="I580" s="169"/>
      <c r="J580" s="169"/>
      <c r="K580" s="169"/>
      <c r="L580" s="169"/>
      <c r="M580" s="169"/>
      <c r="N580" s="170"/>
      <c r="O580" s="170"/>
      <c r="P580" s="170"/>
      <c r="Q580" s="170"/>
      <c r="R580" s="169"/>
      <c r="S580" s="169"/>
      <c r="T580" s="169"/>
      <c r="U580" s="169"/>
      <c r="V580" s="169"/>
      <c r="W580" s="169"/>
      <c r="X580" s="169"/>
      <c r="Y580" s="169"/>
      <c r="Z580" s="171"/>
      <c r="AA580" s="171"/>
      <c r="AB580" s="171"/>
      <c r="AC580" s="171"/>
      <c r="AD580" s="171"/>
      <c r="AE580" s="171"/>
      <c r="AF580" s="171"/>
      <c r="AG580" s="171" t="s">
        <v>148</v>
      </c>
      <c r="AH580" s="171">
        <v>0</v>
      </c>
      <c r="AI580" s="171"/>
      <c r="AJ580" s="171"/>
      <c r="AK580" s="171"/>
      <c r="AL580" s="171"/>
      <c r="AM580" s="171"/>
      <c r="AN580" s="171"/>
      <c r="AO580" s="171"/>
      <c r="AP580" s="171"/>
      <c r="AQ580" s="171"/>
      <c r="AR580" s="171"/>
      <c r="AS580" s="171"/>
      <c r="AT580" s="171"/>
      <c r="AU580" s="171"/>
      <c r="AV580" s="171"/>
      <c r="AW580" s="171"/>
      <c r="AX580" s="171"/>
      <c r="AY580" s="171"/>
      <c r="AZ580" s="171"/>
      <c r="BA580" s="171"/>
      <c r="BB580" s="171"/>
      <c r="BC580" s="171"/>
      <c r="BD580" s="171"/>
      <c r="BE580" s="171"/>
      <c r="BF580" s="171"/>
      <c r="BG580" s="171"/>
      <c r="BH580" s="171"/>
    </row>
    <row r="581" spans="1:60" outlineLevel="3" x14ac:dyDescent="0.2">
      <c r="A581" s="172"/>
      <c r="B581" s="173"/>
      <c r="C581" s="174" t="s">
        <v>263</v>
      </c>
      <c r="D581" s="175"/>
      <c r="E581" s="176">
        <v>9.8879999999999999</v>
      </c>
      <c r="F581" s="196"/>
      <c r="G581" s="169"/>
      <c r="H581" s="169"/>
      <c r="I581" s="169"/>
      <c r="J581" s="169"/>
      <c r="K581" s="169"/>
      <c r="L581" s="169"/>
      <c r="M581" s="169"/>
      <c r="N581" s="170"/>
      <c r="O581" s="170"/>
      <c r="P581" s="170"/>
      <c r="Q581" s="170"/>
      <c r="R581" s="169"/>
      <c r="S581" s="169"/>
      <c r="T581" s="169"/>
      <c r="U581" s="169"/>
      <c r="V581" s="169"/>
      <c r="W581" s="169"/>
      <c r="X581" s="169"/>
      <c r="Y581" s="169"/>
      <c r="Z581" s="171"/>
      <c r="AA581" s="171"/>
      <c r="AB581" s="171"/>
      <c r="AC581" s="171"/>
      <c r="AD581" s="171"/>
      <c r="AE581" s="171"/>
      <c r="AF581" s="171"/>
      <c r="AG581" s="171" t="s">
        <v>148</v>
      </c>
      <c r="AH581" s="171">
        <v>0</v>
      </c>
      <c r="AI581" s="171"/>
      <c r="AJ581" s="171"/>
      <c r="AK581" s="171"/>
      <c r="AL581" s="171"/>
      <c r="AM581" s="171"/>
      <c r="AN581" s="171"/>
      <c r="AO581" s="171"/>
      <c r="AP581" s="171"/>
      <c r="AQ581" s="171"/>
      <c r="AR581" s="171"/>
      <c r="AS581" s="171"/>
      <c r="AT581" s="171"/>
      <c r="AU581" s="171"/>
      <c r="AV581" s="171"/>
      <c r="AW581" s="171"/>
      <c r="AX581" s="171"/>
      <c r="AY581" s="171"/>
      <c r="AZ581" s="171"/>
      <c r="BA581" s="171"/>
      <c r="BB581" s="171"/>
      <c r="BC581" s="171"/>
      <c r="BD581" s="171"/>
      <c r="BE581" s="171"/>
      <c r="BF581" s="171"/>
      <c r="BG581" s="171"/>
      <c r="BH581" s="171"/>
    </row>
    <row r="582" spans="1:60" outlineLevel="3" x14ac:dyDescent="0.2">
      <c r="A582" s="172"/>
      <c r="B582" s="173"/>
      <c r="C582" s="174" t="s">
        <v>264</v>
      </c>
      <c r="D582" s="175"/>
      <c r="E582" s="176">
        <v>7.4272999999999998</v>
      </c>
      <c r="F582" s="196"/>
      <c r="G582" s="169"/>
      <c r="H582" s="169"/>
      <c r="I582" s="169"/>
      <c r="J582" s="169"/>
      <c r="K582" s="169"/>
      <c r="L582" s="169"/>
      <c r="M582" s="169"/>
      <c r="N582" s="170"/>
      <c r="O582" s="170"/>
      <c r="P582" s="170"/>
      <c r="Q582" s="170"/>
      <c r="R582" s="169"/>
      <c r="S582" s="169"/>
      <c r="T582" s="169"/>
      <c r="U582" s="169"/>
      <c r="V582" s="169"/>
      <c r="W582" s="169"/>
      <c r="X582" s="169"/>
      <c r="Y582" s="169"/>
      <c r="Z582" s="171"/>
      <c r="AA582" s="171"/>
      <c r="AB582" s="171"/>
      <c r="AC582" s="171"/>
      <c r="AD582" s="171"/>
      <c r="AE582" s="171"/>
      <c r="AF582" s="171"/>
      <c r="AG582" s="171" t="s">
        <v>148</v>
      </c>
      <c r="AH582" s="171">
        <v>0</v>
      </c>
      <c r="AI582" s="171"/>
      <c r="AJ582" s="171"/>
      <c r="AK582" s="171"/>
      <c r="AL582" s="171"/>
      <c r="AM582" s="171"/>
      <c r="AN582" s="171"/>
      <c r="AO582" s="171"/>
      <c r="AP582" s="171"/>
      <c r="AQ582" s="171"/>
      <c r="AR582" s="171"/>
      <c r="AS582" s="171"/>
      <c r="AT582" s="171"/>
      <c r="AU582" s="171"/>
      <c r="AV582" s="171"/>
      <c r="AW582" s="171"/>
      <c r="AX582" s="171"/>
      <c r="AY582" s="171"/>
      <c r="AZ582" s="171"/>
      <c r="BA582" s="171"/>
      <c r="BB582" s="171"/>
      <c r="BC582" s="171"/>
      <c r="BD582" s="171"/>
      <c r="BE582" s="171"/>
      <c r="BF582" s="171"/>
      <c r="BG582" s="171"/>
      <c r="BH582" s="171"/>
    </row>
    <row r="583" spans="1:60" outlineLevel="3" x14ac:dyDescent="0.2">
      <c r="A583" s="172"/>
      <c r="B583" s="173"/>
      <c r="C583" s="174" t="s">
        <v>265</v>
      </c>
      <c r="D583" s="175"/>
      <c r="E583" s="176">
        <v>12.672000000000001</v>
      </c>
      <c r="F583" s="196"/>
      <c r="G583" s="169"/>
      <c r="H583" s="169"/>
      <c r="I583" s="169"/>
      <c r="J583" s="169"/>
      <c r="K583" s="169"/>
      <c r="L583" s="169"/>
      <c r="M583" s="169"/>
      <c r="N583" s="170"/>
      <c r="O583" s="170"/>
      <c r="P583" s="170"/>
      <c r="Q583" s="170"/>
      <c r="R583" s="169"/>
      <c r="S583" s="169"/>
      <c r="T583" s="169"/>
      <c r="U583" s="169"/>
      <c r="V583" s="169"/>
      <c r="W583" s="169"/>
      <c r="X583" s="169"/>
      <c r="Y583" s="169"/>
      <c r="Z583" s="171"/>
      <c r="AA583" s="171"/>
      <c r="AB583" s="171"/>
      <c r="AC583" s="171"/>
      <c r="AD583" s="171"/>
      <c r="AE583" s="171"/>
      <c r="AF583" s="171"/>
      <c r="AG583" s="171" t="s">
        <v>148</v>
      </c>
      <c r="AH583" s="171">
        <v>0</v>
      </c>
      <c r="AI583" s="171"/>
      <c r="AJ583" s="171"/>
      <c r="AK583" s="171"/>
      <c r="AL583" s="171"/>
      <c r="AM583" s="171"/>
      <c r="AN583" s="171"/>
      <c r="AO583" s="171"/>
      <c r="AP583" s="171"/>
      <c r="AQ583" s="171"/>
      <c r="AR583" s="171"/>
      <c r="AS583" s="171"/>
      <c r="AT583" s="171"/>
      <c r="AU583" s="171"/>
      <c r="AV583" s="171"/>
      <c r="AW583" s="171"/>
      <c r="AX583" s="171"/>
      <c r="AY583" s="171"/>
      <c r="AZ583" s="171"/>
      <c r="BA583" s="171"/>
      <c r="BB583" s="171"/>
      <c r="BC583" s="171"/>
      <c r="BD583" s="171"/>
      <c r="BE583" s="171"/>
      <c r="BF583" s="171"/>
      <c r="BG583" s="171"/>
      <c r="BH583" s="171"/>
    </row>
    <row r="584" spans="1:60" outlineLevel="3" x14ac:dyDescent="0.2">
      <c r="A584" s="172"/>
      <c r="B584" s="173"/>
      <c r="C584" s="174" t="s">
        <v>266</v>
      </c>
      <c r="D584" s="175"/>
      <c r="E584" s="176">
        <v>8.8000000000000007</v>
      </c>
      <c r="F584" s="196"/>
      <c r="G584" s="169"/>
      <c r="H584" s="169"/>
      <c r="I584" s="169"/>
      <c r="J584" s="169"/>
      <c r="K584" s="169"/>
      <c r="L584" s="169"/>
      <c r="M584" s="169"/>
      <c r="N584" s="170"/>
      <c r="O584" s="170"/>
      <c r="P584" s="170"/>
      <c r="Q584" s="170"/>
      <c r="R584" s="169"/>
      <c r="S584" s="169"/>
      <c r="T584" s="169"/>
      <c r="U584" s="169"/>
      <c r="V584" s="169"/>
      <c r="W584" s="169"/>
      <c r="X584" s="169"/>
      <c r="Y584" s="169"/>
      <c r="Z584" s="171"/>
      <c r="AA584" s="171"/>
      <c r="AB584" s="171"/>
      <c r="AC584" s="171"/>
      <c r="AD584" s="171"/>
      <c r="AE584" s="171"/>
      <c r="AF584" s="171"/>
      <c r="AG584" s="171" t="s">
        <v>148</v>
      </c>
      <c r="AH584" s="171">
        <v>0</v>
      </c>
      <c r="AI584" s="171"/>
      <c r="AJ584" s="171"/>
      <c r="AK584" s="171"/>
      <c r="AL584" s="171"/>
      <c r="AM584" s="171"/>
      <c r="AN584" s="171"/>
      <c r="AO584" s="171"/>
      <c r="AP584" s="171"/>
      <c r="AQ584" s="171"/>
      <c r="AR584" s="171"/>
      <c r="AS584" s="171"/>
      <c r="AT584" s="171"/>
      <c r="AU584" s="171"/>
      <c r="AV584" s="171"/>
      <c r="AW584" s="171"/>
      <c r="AX584" s="171"/>
      <c r="AY584" s="171"/>
      <c r="AZ584" s="171"/>
      <c r="BA584" s="171"/>
      <c r="BB584" s="171"/>
      <c r="BC584" s="171"/>
      <c r="BD584" s="171"/>
      <c r="BE584" s="171"/>
      <c r="BF584" s="171"/>
      <c r="BG584" s="171"/>
      <c r="BH584" s="171"/>
    </row>
    <row r="585" spans="1:60" outlineLevel="3" x14ac:dyDescent="0.2">
      <c r="A585" s="172"/>
      <c r="B585" s="173"/>
      <c r="C585" s="174" t="s">
        <v>267</v>
      </c>
      <c r="D585" s="175"/>
      <c r="E585" s="176">
        <v>7.5839999999999996</v>
      </c>
      <c r="F585" s="196"/>
      <c r="G585" s="169"/>
      <c r="H585" s="169"/>
      <c r="I585" s="169"/>
      <c r="J585" s="169"/>
      <c r="K585" s="169"/>
      <c r="L585" s="169"/>
      <c r="M585" s="169"/>
      <c r="N585" s="170"/>
      <c r="O585" s="170"/>
      <c r="P585" s="170"/>
      <c r="Q585" s="170"/>
      <c r="R585" s="169"/>
      <c r="S585" s="169"/>
      <c r="T585" s="169"/>
      <c r="U585" s="169"/>
      <c r="V585" s="169"/>
      <c r="W585" s="169"/>
      <c r="X585" s="169"/>
      <c r="Y585" s="169"/>
      <c r="Z585" s="171"/>
      <c r="AA585" s="171"/>
      <c r="AB585" s="171"/>
      <c r="AC585" s="171"/>
      <c r="AD585" s="171"/>
      <c r="AE585" s="171"/>
      <c r="AF585" s="171"/>
      <c r="AG585" s="171" t="s">
        <v>148</v>
      </c>
      <c r="AH585" s="171">
        <v>0</v>
      </c>
      <c r="AI585" s="171"/>
      <c r="AJ585" s="171"/>
      <c r="AK585" s="171"/>
      <c r="AL585" s="171"/>
      <c r="AM585" s="171"/>
      <c r="AN585" s="171"/>
      <c r="AO585" s="171"/>
      <c r="AP585" s="171"/>
      <c r="AQ585" s="171"/>
      <c r="AR585" s="171"/>
      <c r="AS585" s="171"/>
      <c r="AT585" s="171"/>
      <c r="AU585" s="171"/>
      <c r="AV585" s="171"/>
      <c r="AW585" s="171"/>
      <c r="AX585" s="171"/>
      <c r="AY585" s="171"/>
      <c r="AZ585" s="171"/>
      <c r="BA585" s="171"/>
      <c r="BB585" s="171"/>
      <c r="BC585" s="171"/>
      <c r="BD585" s="171"/>
      <c r="BE585" s="171"/>
      <c r="BF585" s="171"/>
      <c r="BG585" s="171"/>
      <c r="BH585" s="171"/>
    </row>
    <row r="586" spans="1:60" outlineLevel="3" x14ac:dyDescent="0.2">
      <c r="A586" s="172"/>
      <c r="B586" s="173"/>
      <c r="C586" s="174" t="s">
        <v>268</v>
      </c>
      <c r="D586" s="175"/>
      <c r="E586" s="176">
        <v>11.68</v>
      </c>
      <c r="F586" s="196"/>
      <c r="G586" s="169"/>
      <c r="H586" s="169"/>
      <c r="I586" s="169"/>
      <c r="J586" s="169"/>
      <c r="K586" s="169"/>
      <c r="L586" s="169"/>
      <c r="M586" s="169"/>
      <c r="N586" s="170"/>
      <c r="O586" s="170"/>
      <c r="P586" s="170"/>
      <c r="Q586" s="170"/>
      <c r="R586" s="169"/>
      <c r="S586" s="169"/>
      <c r="T586" s="169"/>
      <c r="U586" s="169"/>
      <c r="V586" s="169"/>
      <c r="W586" s="169"/>
      <c r="X586" s="169"/>
      <c r="Y586" s="169"/>
      <c r="Z586" s="171"/>
      <c r="AA586" s="171"/>
      <c r="AB586" s="171"/>
      <c r="AC586" s="171"/>
      <c r="AD586" s="171"/>
      <c r="AE586" s="171"/>
      <c r="AF586" s="171"/>
      <c r="AG586" s="171" t="s">
        <v>148</v>
      </c>
      <c r="AH586" s="171">
        <v>0</v>
      </c>
      <c r="AI586" s="171"/>
      <c r="AJ586" s="171"/>
      <c r="AK586" s="171"/>
      <c r="AL586" s="171"/>
      <c r="AM586" s="171"/>
      <c r="AN586" s="171"/>
      <c r="AO586" s="171"/>
      <c r="AP586" s="171"/>
      <c r="AQ586" s="171"/>
      <c r="AR586" s="171"/>
      <c r="AS586" s="171"/>
      <c r="AT586" s="171"/>
      <c r="AU586" s="171"/>
      <c r="AV586" s="171"/>
      <c r="AW586" s="171"/>
      <c r="AX586" s="171"/>
      <c r="AY586" s="171"/>
      <c r="AZ586" s="171"/>
      <c r="BA586" s="171"/>
      <c r="BB586" s="171"/>
      <c r="BC586" s="171"/>
      <c r="BD586" s="171"/>
      <c r="BE586" s="171"/>
      <c r="BF586" s="171"/>
      <c r="BG586" s="171"/>
      <c r="BH586" s="171"/>
    </row>
    <row r="587" spans="1:60" outlineLevel="3" x14ac:dyDescent="0.2">
      <c r="A587" s="172"/>
      <c r="B587" s="173"/>
      <c r="C587" s="183" t="s">
        <v>269</v>
      </c>
      <c r="D587" s="184"/>
      <c r="E587" s="185">
        <v>222.7193</v>
      </c>
      <c r="F587" s="196"/>
      <c r="G587" s="169"/>
      <c r="H587" s="169"/>
      <c r="I587" s="169"/>
      <c r="J587" s="169"/>
      <c r="K587" s="169"/>
      <c r="L587" s="169"/>
      <c r="M587" s="169"/>
      <c r="N587" s="170"/>
      <c r="O587" s="170"/>
      <c r="P587" s="170"/>
      <c r="Q587" s="170"/>
      <c r="R587" s="169"/>
      <c r="S587" s="169"/>
      <c r="T587" s="169"/>
      <c r="U587" s="169"/>
      <c r="V587" s="169"/>
      <c r="W587" s="169"/>
      <c r="X587" s="169"/>
      <c r="Y587" s="169"/>
      <c r="Z587" s="171"/>
      <c r="AA587" s="171"/>
      <c r="AB587" s="171"/>
      <c r="AC587" s="171"/>
      <c r="AD587" s="171"/>
      <c r="AE587" s="171"/>
      <c r="AF587" s="171"/>
      <c r="AG587" s="171" t="s">
        <v>148</v>
      </c>
      <c r="AH587" s="171">
        <v>1</v>
      </c>
      <c r="AI587" s="171"/>
      <c r="AJ587" s="171"/>
      <c r="AK587" s="171"/>
      <c r="AL587" s="171"/>
      <c r="AM587" s="171"/>
      <c r="AN587" s="171"/>
      <c r="AO587" s="171"/>
      <c r="AP587" s="171"/>
      <c r="AQ587" s="171"/>
      <c r="AR587" s="171"/>
      <c r="AS587" s="171"/>
      <c r="AT587" s="171"/>
      <c r="AU587" s="171"/>
      <c r="AV587" s="171"/>
      <c r="AW587" s="171"/>
      <c r="AX587" s="171"/>
      <c r="AY587" s="171"/>
      <c r="AZ587" s="171"/>
      <c r="BA587" s="171"/>
      <c r="BB587" s="171"/>
      <c r="BC587" s="171"/>
      <c r="BD587" s="171"/>
      <c r="BE587" s="171"/>
      <c r="BF587" s="171"/>
      <c r="BG587" s="171"/>
      <c r="BH587" s="171"/>
    </row>
    <row r="588" spans="1:60" ht="33.75" outlineLevel="1" x14ac:dyDescent="0.2">
      <c r="A588" s="162">
        <v>100</v>
      </c>
      <c r="B588" s="163" t="s">
        <v>595</v>
      </c>
      <c r="C588" s="164" t="s">
        <v>596</v>
      </c>
      <c r="D588" s="165" t="s">
        <v>159</v>
      </c>
      <c r="E588" s="166">
        <v>219.8168</v>
      </c>
      <c r="F588" s="140"/>
      <c r="G588" s="167">
        <f>ROUND(E588*F588,2)</f>
        <v>0</v>
      </c>
      <c r="H588" s="168"/>
      <c r="I588" s="169">
        <f>ROUND(E588*H588,2)</f>
        <v>0</v>
      </c>
      <c r="J588" s="168"/>
      <c r="K588" s="169">
        <f>ROUND(E588*J588,2)</f>
        <v>0</v>
      </c>
      <c r="L588" s="169">
        <v>21</v>
      </c>
      <c r="M588" s="169">
        <f>G588*(1+L588/100)</f>
        <v>0</v>
      </c>
      <c r="N588" s="170">
        <v>5.6600000000000001E-3</v>
      </c>
      <c r="O588" s="170">
        <f>ROUND(E588*N588,2)</f>
        <v>1.24</v>
      </c>
      <c r="P588" s="170">
        <v>0</v>
      </c>
      <c r="Q588" s="170">
        <f>ROUND(E588*P588,2)</f>
        <v>0</v>
      </c>
      <c r="R588" s="169"/>
      <c r="S588" s="169" t="s">
        <v>143</v>
      </c>
      <c r="T588" s="169" t="s">
        <v>143</v>
      </c>
      <c r="U588" s="169">
        <v>1.8640000000000001</v>
      </c>
      <c r="V588" s="169">
        <f>ROUND(E588*U588,2)</f>
        <v>409.74</v>
      </c>
      <c r="W588" s="169"/>
      <c r="X588" s="169" t="s">
        <v>144</v>
      </c>
      <c r="Y588" s="169" t="s">
        <v>145</v>
      </c>
      <c r="Z588" s="171"/>
      <c r="AA588" s="171"/>
      <c r="AB588" s="171"/>
      <c r="AC588" s="171"/>
      <c r="AD588" s="171"/>
      <c r="AE588" s="171"/>
      <c r="AF588" s="171"/>
      <c r="AG588" s="171" t="s">
        <v>146</v>
      </c>
      <c r="AH588" s="171"/>
      <c r="AI588" s="171"/>
      <c r="AJ588" s="171"/>
      <c r="AK588" s="171"/>
      <c r="AL588" s="171"/>
      <c r="AM588" s="171"/>
      <c r="AN588" s="171"/>
      <c r="AO588" s="171"/>
      <c r="AP588" s="171"/>
      <c r="AQ588" s="171"/>
      <c r="AR588" s="171"/>
      <c r="AS588" s="171"/>
      <c r="AT588" s="171"/>
      <c r="AU588" s="171"/>
      <c r="AV588" s="171"/>
      <c r="AW588" s="171"/>
      <c r="AX588" s="171"/>
      <c r="AY588" s="171"/>
      <c r="AZ588" s="171"/>
      <c r="BA588" s="171"/>
      <c r="BB588" s="171"/>
      <c r="BC588" s="171"/>
      <c r="BD588" s="171"/>
      <c r="BE588" s="171"/>
      <c r="BF588" s="171"/>
      <c r="BG588" s="171"/>
      <c r="BH588" s="171"/>
    </row>
    <row r="589" spans="1:60" outlineLevel="2" x14ac:dyDescent="0.2">
      <c r="A589" s="172"/>
      <c r="B589" s="173"/>
      <c r="C589" s="174" t="s">
        <v>149</v>
      </c>
      <c r="D589" s="175"/>
      <c r="E589" s="176"/>
      <c r="F589" s="196"/>
      <c r="G589" s="169"/>
      <c r="H589" s="169"/>
      <c r="I589" s="169"/>
      <c r="J589" s="169"/>
      <c r="K589" s="169"/>
      <c r="L589" s="169"/>
      <c r="M589" s="169"/>
      <c r="N589" s="170"/>
      <c r="O589" s="170"/>
      <c r="P589" s="170"/>
      <c r="Q589" s="170"/>
      <c r="R589" s="169"/>
      <c r="S589" s="169"/>
      <c r="T589" s="169"/>
      <c r="U589" s="169"/>
      <c r="V589" s="169"/>
      <c r="W589" s="169"/>
      <c r="X589" s="169"/>
      <c r="Y589" s="169"/>
      <c r="Z589" s="171"/>
      <c r="AA589" s="171"/>
      <c r="AB589" s="171"/>
      <c r="AC589" s="171"/>
      <c r="AD589" s="171"/>
      <c r="AE589" s="171"/>
      <c r="AF589" s="171"/>
      <c r="AG589" s="171" t="s">
        <v>148</v>
      </c>
      <c r="AH589" s="171">
        <v>0</v>
      </c>
      <c r="AI589" s="171"/>
      <c r="AJ589" s="171"/>
      <c r="AK589" s="171"/>
      <c r="AL589" s="171"/>
      <c r="AM589" s="171"/>
      <c r="AN589" s="171"/>
      <c r="AO589" s="171"/>
      <c r="AP589" s="171"/>
      <c r="AQ589" s="171"/>
      <c r="AR589" s="171"/>
      <c r="AS589" s="171"/>
      <c r="AT589" s="171"/>
      <c r="AU589" s="171"/>
      <c r="AV589" s="171"/>
      <c r="AW589" s="171"/>
      <c r="AX589" s="171"/>
      <c r="AY589" s="171"/>
      <c r="AZ589" s="171"/>
      <c r="BA589" s="171"/>
      <c r="BB589" s="171"/>
      <c r="BC589" s="171"/>
      <c r="BD589" s="171"/>
      <c r="BE589" s="171"/>
      <c r="BF589" s="171"/>
      <c r="BG589" s="171"/>
      <c r="BH589" s="171"/>
    </row>
    <row r="590" spans="1:60" outlineLevel="3" x14ac:dyDescent="0.2">
      <c r="A590" s="172"/>
      <c r="B590" s="173"/>
      <c r="C590" s="174" t="s">
        <v>246</v>
      </c>
      <c r="D590" s="175"/>
      <c r="E590" s="176">
        <v>9.44</v>
      </c>
      <c r="F590" s="196"/>
      <c r="G590" s="169"/>
      <c r="H590" s="169"/>
      <c r="I590" s="169"/>
      <c r="J590" s="169"/>
      <c r="K590" s="169"/>
      <c r="L590" s="169"/>
      <c r="M590" s="169"/>
      <c r="N590" s="170"/>
      <c r="O590" s="170"/>
      <c r="P590" s="170"/>
      <c r="Q590" s="170"/>
      <c r="R590" s="169"/>
      <c r="S590" s="169"/>
      <c r="T590" s="169"/>
      <c r="U590" s="169"/>
      <c r="V590" s="169"/>
      <c r="W590" s="169"/>
      <c r="X590" s="169"/>
      <c r="Y590" s="169"/>
      <c r="Z590" s="171"/>
      <c r="AA590" s="171"/>
      <c r="AB590" s="171"/>
      <c r="AC590" s="171"/>
      <c r="AD590" s="171"/>
      <c r="AE590" s="171"/>
      <c r="AF590" s="171"/>
      <c r="AG590" s="171" t="s">
        <v>148</v>
      </c>
      <c r="AH590" s="171">
        <v>0</v>
      </c>
      <c r="AI590" s="171"/>
      <c r="AJ590" s="171"/>
      <c r="AK590" s="171"/>
      <c r="AL590" s="171"/>
      <c r="AM590" s="171"/>
      <c r="AN590" s="171"/>
      <c r="AO590" s="171"/>
      <c r="AP590" s="171"/>
      <c r="AQ590" s="171"/>
      <c r="AR590" s="171"/>
      <c r="AS590" s="171"/>
      <c r="AT590" s="171"/>
      <c r="AU590" s="171"/>
      <c r="AV590" s="171"/>
      <c r="AW590" s="171"/>
      <c r="AX590" s="171"/>
      <c r="AY590" s="171"/>
      <c r="AZ590" s="171"/>
      <c r="BA590" s="171"/>
      <c r="BB590" s="171"/>
      <c r="BC590" s="171"/>
      <c r="BD590" s="171"/>
      <c r="BE590" s="171"/>
      <c r="BF590" s="171"/>
      <c r="BG590" s="171"/>
      <c r="BH590" s="171"/>
    </row>
    <row r="591" spans="1:60" outlineLevel="3" x14ac:dyDescent="0.2">
      <c r="A591" s="172"/>
      <c r="B591" s="173"/>
      <c r="C591" s="174" t="s">
        <v>597</v>
      </c>
      <c r="D591" s="175"/>
      <c r="E591" s="176">
        <v>6.9546000000000001</v>
      </c>
      <c r="F591" s="196"/>
      <c r="G591" s="169"/>
      <c r="H591" s="169"/>
      <c r="I591" s="169"/>
      <c r="J591" s="169"/>
      <c r="K591" s="169"/>
      <c r="L591" s="169"/>
      <c r="M591" s="169"/>
      <c r="N591" s="170"/>
      <c r="O591" s="170"/>
      <c r="P591" s="170"/>
      <c r="Q591" s="170"/>
      <c r="R591" s="169"/>
      <c r="S591" s="169"/>
      <c r="T591" s="169"/>
      <c r="U591" s="169"/>
      <c r="V591" s="169"/>
      <c r="W591" s="169"/>
      <c r="X591" s="169"/>
      <c r="Y591" s="169"/>
      <c r="Z591" s="171"/>
      <c r="AA591" s="171"/>
      <c r="AB591" s="171"/>
      <c r="AC591" s="171"/>
      <c r="AD591" s="171"/>
      <c r="AE591" s="171"/>
      <c r="AF591" s="171"/>
      <c r="AG591" s="171" t="s">
        <v>148</v>
      </c>
      <c r="AH591" s="171">
        <v>0</v>
      </c>
      <c r="AI591" s="171"/>
      <c r="AJ591" s="171"/>
      <c r="AK591" s="171"/>
      <c r="AL591" s="171"/>
      <c r="AM591" s="171"/>
      <c r="AN591" s="171"/>
      <c r="AO591" s="171"/>
      <c r="AP591" s="171"/>
      <c r="AQ591" s="171"/>
      <c r="AR591" s="171"/>
      <c r="AS591" s="171"/>
      <c r="AT591" s="171"/>
      <c r="AU591" s="171"/>
      <c r="AV591" s="171"/>
      <c r="AW591" s="171"/>
      <c r="AX591" s="171"/>
      <c r="AY591" s="171"/>
      <c r="AZ591" s="171"/>
      <c r="BA591" s="171"/>
      <c r="BB591" s="171"/>
      <c r="BC591" s="171"/>
      <c r="BD591" s="171"/>
      <c r="BE591" s="171"/>
      <c r="BF591" s="171"/>
      <c r="BG591" s="171"/>
      <c r="BH591" s="171"/>
    </row>
    <row r="592" spans="1:60" outlineLevel="3" x14ac:dyDescent="0.2">
      <c r="A592" s="172"/>
      <c r="B592" s="173"/>
      <c r="C592" s="174" t="s">
        <v>248</v>
      </c>
      <c r="D592" s="175"/>
      <c r="E592" s="176">
        <v>9.76</v>
      </c>
      <c r="F592" s="196"/>
      <c r="G592" s="169"/>
      <c r="H592" s="169"/>
      <c r="I592" s="169"/>
      <c r="J592" s="169"/>
      <c r="K592" s="169"/>
      <c r="L592" s="169"/>
      <c r="M592" s="169"/>
      <c r="N592" s="170"/>
      <c r="O592" s="170"/>
      <c r="P592" s="170"/>
      <c r="Q592" s="170"/>
      <c r="R592" s="169"/>
      <c r="S592" s="169"/>
      <c r="T592" s="169"/>
      <c r="U592" s="169"/>
      <c r="V592" s="169"/>
      <c r="W592" s="169"/>
      <c r="X592" s="169"/>
      <c r="Y592" s="169"/>
      <c r="Z592" s="171"/>
      <c r="AA592" s="171"/>
      <c r="AB592" s="171"/>
      <c r="AC592" s="171"/>
      <c r="AD592" s="171"/>
      <c r="AE592" s="171"/>
      <c r="AF592" s="171"/>
      <c r="AG592" s="171" t="s">
        <v>148</v>
      </c>
      <c r="AH592" s="171">
        <v>0</v>
      </c>
      <c r="AI592" s="171"/>
      <c r="AJ592" s="171"/>
      <c r="AK592" s="171"/>
      <c r="AL592" s="171"/>
      <c r="AM592" s="171"/>
      <c r="AN592" s="171"/>
      <c r="AO592" s="171"/>
      <c r="AP592" s="171"/>
      <c r="AQ592" s="171"/>
      <c r="AR592" s="171"/>
      <c r="AS592" s="171"/>
      <c r="AT592" s="171"/>
      <c r="AU592" s="171"/>
      <c r="AV592" s="171"/>
      <c r="AW592" s="171"/>
      <c r="AX592" s="171"/>
      <c r="AY592" s="171"/>
      <c r="AZ592" s="171"/>
      <c r="BA592" s="171"/>
      <c r="BB592" s="171"/>
      <c r="BC592" s="171"/>
      <c r="BD592" s="171"/>
      <c r="BE592" s="171"/>
      <c r="BF592" s="171"/>
      <c r="BG592" s="171"/>
      <c r="BH592" s="171"/>
    </row>
    <row r="593" spans="1:60" outlineLevel="3" x14ac:dyDescent="0.2">
      <c r="A593" s="172"/>
      <c r="B593" s="173"/>
      <c r="C593" s="174" t="s">
        <v>249</v>
      </c>
      <c r="D593" s="175"/>
      <c r="E593" s="176">
        <v>13.023999999999999</v>
      </c>
      <c r="F593" s="196"/>
      <c r="G593" s="169"/>
      <c r="H593" s="169"/>
      <c r="I593" s="169"/>
      <c r="J593" s="169"/>
      <c r="K593" s="169"/>
      <c r="L593" s="169"/>
      <c r="M593" s="169"/>
      <c r="N593" s="170"/>
      <c r="O593" s="170"/>
      <c r="P593" s="170"/>
      <c r="Q593" s="170"/>
      <c r="R593" s="169"/>
      <c r="S593" s="169"/>
      <c r="T593" s="169"/>
      <c r="U593" s="169"/>
      <c r="V593" s="169"/>
      <c r="W593" s="169"/>
      <c r="X593" s="169"/>
      <c r="Y593" s="169"/>
      <c r="Z593" s="171"/>
      <c r="AA593" s="171"/>
      <c r="AB593" s="171"/>
      <c r="AC593" s="171"/>
      <c r="AD593" s="171"/>
      <c r="AE593" s="171"/>
      <c r="AF593" s="171"/>
      <c r="AG593" s="171" t="s">
        <v>148</v>
      </c>
      <c r="AH593" s="171">
        <v>0</v>
      </c>
      <c r="AI593" s="171"/>
      <c r="AJ593" s="171"/>
      <c r="AK593" s="171"/>
      <c r="AL593" s="171"/>
      <c r="AM593" s="171"/>
      <c r="AN593" s="171"/>
      <c r="AO593" s="171"/>
      <c r="AP593" s="171"/>
      <c r="AQ593" s="171"/>
      <c r="AR593" s="171"/>
      <c r="AS593" s="171"/>
      <c r="AT593" s="171"/>
      <c r="AU593" s="171"/>
      <c r="AV593" s="171"/>
      <c r="AW593" s="171"/>
      <c r="AX593" s="171"/>
      <c r="AY593" s="171"/>
      <c r="AZ593" s="171"/>
      <c r="BA593" s="171"/>
      <c r="BB593" s="171"/>
      <c r="BC593" s="171"/>
      <c r="BD593" s="171"/>
      <c r="BE593" s="171"/>
      <c r="BF593" s="171"/>
      <c r="BG593" s="171"/>
      <c r="BH593" s="171"/>
    </row>
    <row r="594" spans="1:60" outlineLevel="3" x14ac:dyDescent="0.2">
      <c r="A594" s="172"/>
      <c r="B594" s="173"/>
      <c r="C594" s="174" t="s">
        <v>598</v>
      </c>
      <c r="D594" s="175"/>
      <c r="E594" s="176">
        <v>6.7670000000000003</v>
      </c>
      <c r="F594" s="196"/>
      <c r="G594" s="169"/>
      <c r="H594" s="169"/>
      <c r="I594" s="169"/>
      <c r="J594" s="169"/>
      <c r="K594" s="169"/>
      <c r="L594" s="169"/>
      <c r="M594" s="169"/>
      <c r="N594" s="170"/>
      <c r="O594" s="170"/>
      <c r="P594" s="170"/>
      <c r="Q594" s="170"/>
      <c r="R594" s="169"/>
      <c r="S594" s="169"/>
      <c r="T594" s="169"/>
      <c r="U594" s="169"/>
      <c r="V594" s="169"/>
      <c r="W594" s="169"/>
      <c r="X594" s="169"/>
      <c r="Y594" s="169"/>
      <c r="Z594" s="171"/>
      <c r="AA594" s="171"/>
      <c r="AB594" s="171"/>
      <c r="AC594" s="171"/>
      <c r="AD594" s="171"/>
      <c r="AE594" s="171"/>
      <c r="AF594" s="171"/>
      <c r="AG594" s="171" t="s">
        <v>148</v>
      </c>
      <c r="AH594" s="171">
        <v>0</v>
      </c>
      <c r="AI594" s="171"/>
      <c r="AJ594" s="171"/>
      <c r="AK594" s="171"/>
      <c r="AL594" s="171"/>
      <c r="AM594" s="171"/>
      <c r="AN594" s="171"/>
      <c r="AO594" s="171"/>
      <c r="AP594" s="171"/>
      <c r="AQ594" s="171"/>
      <c r="AR594" s="171"/>
      <c r="AS594" s="171"/>
      <c r="AT594" s="171"/>
      <c r="AU594" s="171"/>
      <c r="AV594" s="171"/>
      <c r="AW594" s="171"/>
      <c r="AX594" s="171"/>
      <c r="AY594" s="171"/>
      <c r="AZ594" s="171"/>
      <c r="BA594" s="171"/>
      <c r="BB594" s="171"/>
      <c r="BC594" s="171"/>
      <c r="BD594" s="171"/>
      <c r="BE594" s="171"/>
      <c r="BF594" s="171"/>
      <c r="BG594" s="171"/>
      <c r="BH594" s="171"/>
    </row>
    <row r="595" spans="1:60" outlineLevel="3" x14ac:dyDescent="0.2">
      <c r="A595" s="172"/>
      <c r="B595" s="173"/>
      <c r="C595" s="174" t="s">
        <v>251</v>
      </c>
      <c r="D595" s="175"/>
      <c r="E595" s="176">
        <v>13.087999999999999</v>
      </c>
      <c r="F595" s="196"/>
      <c r="G595" s="169"/>
      <c r="H595" s="169"/>
      <c r="I595" s="169"/>
      <c r="J595" s="169"/>
      <c r="K595" s="169"/>
      <c r="L595" s="169"/>
      <c r="M595" s="169"/>
      <c r="N595" s="170"/>
      <c r="O595" s="170"/>
      <c r="P595" s="170"/>
      <c r="Q595" s="170"/>
      <c r="R595" s="169"/>
      <c r="S595" s="169"/>
      <c r="T595" s="169"/>
      <c r="U595" s="169"/>
      <c r="V595" s="169"/>
      <c r="W595" s="169"/>
      <c r="X595" s="169"/>
      <c r="Y595" s="169"/>
      <c r="Z595" s="171"/>
      <c r="AA595" s="171"/>
      <c r="AB595" s="171"/>
      <c r="AC595" s="171"/>
      <c r="AD595" s="171"/>
      <c r="AE595" s="171"/>
      <c r="AF595" s="171"/>
      <c r="AG595" s="171" t="s">
        <v>148</v>
      </c>
      <c r="AH595" s="171">
        <v>0</v>
      </c>
      <c r="AI595" s="171"/>
      <c r="AJ595" s="171"/>
      <c r="AK595" s="171"/>
      <c r="AL595" s="171"/>
      <c r="AM595" s="171"/>
      <c r="AN595" s="171"/>
      <c r="AO595" s="171"/>
      <c r="AP595" s="171"/>
      <c r="AQ595" s="171"/>
      <c r="AR595" s="171"/>
      <c r="AS595" s="171"/>
      <c r="AT595" s="171"/>
      <c r="AU595" s="171"/>
      <c r="AV595" s="171"/>
      <c r="AW595" s="171"/>
      <c r="AX595" s="171"/>
      <c r="AY595" s="171"/>
      <c r="AZ595" s="171"/>
      <c r="BA595" s="171"/>
      <c r="BB595" s="171"/>
      <c r="BC595" s="171"/>
      <c r="BD595" s="171"/>
      <c r="BE595" s="171"/>
      <c r="BF595" s="171"/>
      <c r="BG595" s="171"/>
      <c r="BH595" s="171"/>
    </row>
    <row r="596" spans="1:60" outlineLevel="3" x14ac:dyDescent="0.2">
      <c r="A596" s="172"/>
      <c r="B596" s="173"/>
      <c r="C596" s="174" t="s">
        <v>252</v>
      </c>
      <c r="D596" s="175"/>
      <c r="E596" s="176">
        <v>8.6720000000000006</v>
      </c>
      <c r="F596" s="196"/>
      <c r="G596" s="169"/>
      <c r="H596" s="169"/>
      <c r="I596" s="169"/>
      <c r="J596" s="169"/>
      <c r="K596" s="169"/>
      <c r="L596" s="169"/>
      <c r="M596" s="169"/>
      <c r="N596" s="170"/>
      <c r="O596" s="170"/>
      <c r="P596" s="170"/>
      <c r="Q596" s="170"/>
      <c r="R596" s="169"/>
      <c r="S596" s="169"/>
      <c r="T596" s="169"/>
      <c r="U596" s="169"/>
      <c r="V596" s="169"/>
      <c r="W596" s="169"/>
      <c r="X596" s="169"/>
      <c r="Y596" s="169"/>
      <c r="Z596" s="171"/>
      <c r="AA596" s="171"/>
      <c r="AB596" s="171"/>
      <c r="AC596" s="171"/>
      <c r="AD596" s="171"/>
      <c r="AE596" s="171"/>
      <c r="AF596" s="171"/>
      <c r="AG596" s="171" t="s">
        <v>148</v>
      </c>
      <c r="AH596" s="171">
        <v>0</v>
      </c>
      <c r="AI596" s="171"/>
      <c r="AJ596" s="171"/>
      <c r="AK596" s="171"/>
      <c r="AL596" s="171"/>
      <c r="AM596" s="171"/>
      <c r="AN596" s="171"/>
      <c r="AO596" s="171"/>
      <c r="AP596" s="171"/>
      <c r="AQ596" s="171"/>
      <c r="AR596" s="171"/>
      <c r="AS596" s="171"/>
      <c r="AT596" s="171"/>
      <c r="AU596" s="171"/>
      <c r="AV596" s="171"/>
      <c r="AW596" s="171"/>
      <c r="AX596" s="171"/>
      <c r="AY596" s="171"/>
      <c r="AZ596" s="171"/>
      <c r="BA596" s="171"/>
      <c r="BB596" s="171"/>
      <c r="BC596" s="171"/>
      <c r="BD596" s="171"/>
      <c r="BE596" s="171"/>
      <c r="BF596" s="171"/>
      <c r="BG596" s="171"/>
      <c r="BH596" s="171"/>
    </row>
    <row r="597" spans="1:60" outlineLevel="3" x14ac:dyDescent="0.2">
      <c r="A597" s="172"/>
      <c r="B597" s="173"/>
      <c r="C597" s="174" t="s">
        <v>253</v>
      </c>
      <c r="D597" s="175"/>
      <c r="E597" s="176">
        <v>7.1680000000000001</v>
      </c>
      <c r="F597" s="196"/>
      <c r="G597" s="169"/>
      <c r="H597" s="169"/>
      <c r="I597" s="169"/>
      <c r="J597" s="169"/>
      <c r="K597" s="169"/>
      <c r="L597" s="169"/>
      <c r="M597" s="169"/>
      <c r="N597" s="170"/>
      <c r="O597" s="170"/>
      <c r="P597" s="170"/>
      <c r="Q597" s="170"/>
      <c r="R597" s="169"/>
      <c r="S597" s="169"/>
      <c r="T597" s="169"/>
      <c r="U597" s="169"/>
      <c r="V597" s="169"/>
      <c r="W597" s="169"/>
      <c r="X597" s="169"/>
      <c r="Y597" s="169"/>
      <c r="Z597" s="171"/>
      <c r="AA597" s="171"/>
      <c r="AB597" s="171"/>
      <c r="AC597" s="171"/>
      <c r="AD597" s="171"/>
      <c r="AE597" s="171"/>
      <c r="AF597" s="171"/>
      <c r="AG597" s="171" t="s">
        <v>148</v>
      </c>
      <c r="AH597" s="171">
        <v>0</v>
      </c>
      <c r="AI597" s="171"/>
      <c r="AJ597" s="171"/>
      <c r="AK597" s="171"/>
      <c r="AL597" s="171"/>
      <c r="AM597" s="171"/>
      <c r="AN597" s="171"/>
      <c r="AO597" s="171"/>
      <c r="AP597" s="171"/>
      <c r="AQ597" s="171"/>
      <c r="AR597" s="171"/>
      <c r="AS597" s="171"/>
      <c r="AT597" s="171"/>
      <c r="AU597" s="171"/>
      <c r="AV597" s="171"/>
      <c r="AW597" s="171"/>
      <c r="AX597" s="171"/>
      <c r="AY597" s="171"/>
      <c r="AZ597" s="171"/>
      <c r="BA597" s="171"/>
      <c r="BB597" s="171"/>
      <c r="BC597" s="171"/>
      <c r="BD597" s="171"/>
      <c r="BE597" s="171"/>
      <c r="BF597" s="171"/>
      <c r="BG597" s="171"/>
      <c r="BH597" s="171"/>
    </row>
    <row r="598" spans="1:60" outlineLevel="3" x14ac:dyDescent="0.2">
      <c r="A598" s="172"/>
      <c r="B598" s="173"/>
      <c r="C598" s="174" t="s">
        <v>151</v>
      </c>
      <c r="D598" s="175"/>
      <c r="E598" s="176"/>
      <c r="F598" s="196"/>
      <c r="G598" s="169"/>
      <c r="H598" s="169"/>
      <c r="I598" s="169"/>
      <c r="J598" s="169"/>
      <c r="K598" s="169"/>
      <c r="L598" s="169"/>
      <c r="M598" s="169"/>
      <c r="N598" s="170"/>
      <c r="O598" s="170"/>
      <c r="P598" s="170"/>
      <c r="Q598" s="170"/>
      <c r="R598" s="169"/>
      <c r="S598" s="169"/>
      <c r="T598" s="169"/>
      <c r="U598" s="169"/>
      <c r="V598" s="169"/>
      <c r="W598" s="169"/>
      <c r="X598" s="169"/>
      <c r="Y598" s="169"/>
      <c r="Z598" s="171"/>
      <c r="AA598" s="171"/>
      <c r="AB598" s="171"/>
      <c r="AC598" s="171"/>
      <c r="AD598" s="171"/>
      <c r="AE598" s="171"/>
      <c r="AF598" s="171"/>
      <c r="AG598" s="171" t="s">
        <v>148</v>
      </c>
      <c r="AH598" s="171">
        <v>0</v>
      </c>
      <c r="AI598" s="171"/>
      <c r="AJ598" s="171"/>
      <c r="AK598" s="171"/>
      <c r="AL598" s="171"/>
      <c r="AM598" s="171"/>
      <c r="AN598" s="171"/>
      <c r="AO598" s="171"/>
      <c r="AP598" s="171"/>
      <c r="AQ598" s="171"/>
      <c r="AR598" s="171"/>
      <c r="AS598" s="171"/>
      <c r="AT598" s="171"/>
      <c r="AU598" s="171"/>
      <c r="AV598" s="171"/>
      <c r="AW598" s="171"/>
      <c r="AX598" s="171"/>
      <c r="AY598" s="171"/>
      <c r="AZ598" s="171"/>
      <c r="BA598" s="171"/>
      <c r="BB598" s="171"/>
      <c r="BC598" s="171"/>
      <c r="BD598" s="171"/>
      <c r="BE598" s="171"/>
      <c r="BF598" s="171"/>
      <c r="BG598" s="171"/>
      <c r="BH598" s="171"/>
    </row>
    <row r="599" spans="1:60" outlineLevel="3" x14ac:dyDescent="0.2">
      <c r="A599" s="172"/>
      <c r="B599" s="173"/>
      <c r="C599" s="174" t="s">
        <v>254</v>
      </c>
      <c r="D599" s="175"/>
      <c r="E599" s="176">
        <v>9.44</v>
      </c>
      <c r="F599" s="196"/>
      <c r="G599" s="169"/>
      <c r="H599" s="169"/>
      <c r="I599" s="169"/>
      <c r="J599" s="169"/>
      <c r="K599" s="169"/>
      <c r="L599" s="169"/>
      <c r="M599" s="169"/>
      <c r="N599" s="170"/>
      <c r="O599" s="170"/>
      <c r="P599" s="170"/>
      <c r="Q599" s="170"/>
      <c r="R599" s="169"/>
      <c r="S599" s="169"/>
      <c r="T599" s="169"/>
      <c r="U599" s="169"/>
      <c r="V599" s="169"/>
      <c r="W599" s="169"/>
      <c r="X599" s="169"/>
      <c r="Y599" s="169"/>
      <c r="Z599" s="171"/>
      <c r="AA599" s="171"/>
      <c r="AB599" s="171"/>
      <c r="AC599" s="171"/>
      <c r="AD599" s="171"/>
      <c r="AE599" s="171"/>
      <c r="AF599" s="171"/>
      <c r="AG599" s="171" t="s">
        <v>148</v>
      </c>
      <c r="AH599" s="171">
        <v>0</v>
      </c>
      <c r="AI599" s="171"/>
      <c r="AJ599" s="171"/>
      <c r="AK599" s="171"/>
      <c r="AL599" s="171"/>
      <c r="AM599" s="171"/>
      <c r="AN599" s="171"/>
      <c r="AO599" s="171"/>
      <c r="AP599" s="171"/>
      <c r="AQ599" s="171"/>
      <c r="AR599" s="171"/>
      <c r="AS599" s="171"/>
      <c r="AT599" s="171"/>
      <c r="AU599" s="171"/>
      <c r="AV599" s="171"/>
      <c r="AW599" s="171"/>
      <c r="AX599" s="171"/>
      <c r="AY599" s="171"/>
      <c r="AZ599" s="171"/>
      <c r="BA599" s="171"/>
      <c r="BB599" s="171"/>
      <c r="BC599" s="171"/>
      <c r="BD599" s="171"/>
      <c r="BE599" s="171"/>
      <c r="BF599" s="171"/>
      <c r="BG599" s="171"/>
      <c r="BH599" s="171"/>
    </row>
    <row r="600" spans="1:60" outlineLevel="3" x14ac:dyDescent="0.2">
      <c r="A600" s="172"/>
      <c r="B600" s="173"/>
      <c r="C600" s="174" t="s">
        <v>599</v>
      </c>
      <c r="D600" s="175"/>
      <c r="E600" s="176">
        <v>6.5258000000000003</v>
      </c>
      <c r="F600" s="196"/>
      <c r="G600" s="169"/>
      <c r="H600" s="169"/>
      <c r="I600" s="169"/>
      <c r="J600" s="169"/>
      <c r="K600" s="169"/>
      <c r="L600" s="169"/>
      <c r="M600" s="169"/>
      <c r="N600" s="170"/>
      <c r="O600" s="170"/>
      <c r="P600" s="170"/>
      <c r="Q600" s="170"/>
      <c r="R600" s="169"/>
      <c r="S600" s="169"/>
      <c r="T600" s="169"/>
      <c r="U600" s="169"/>
      <c r="V600" s="169"/>
      <c r="W600" s="169"/>
      <c r="X600" s="169"/>
      <c r="Y600" s="169"/>
      <c r="Z600" s="171"/>
      <c r="AA600" s="171"/>
      <c r="AB600" s="171"/>
      <c r="AC600" s="171"/>
      <c r="AD600" s="171"/>
      <c r="AE600" s="171"/>
      <c r="AF600" s="171"/>
      <c r="AG600" s="171" t="s">
        <v>148</v>
      </c>
      <c r="AH600" s="171">
        <v>0</v>
      </c>
      <c r="AI600" s="171"/>
      <c r="AJ600" s="171"/>
      <c r="AK600" s="171"/>
      <c r="AL600" s="171"/>
      <c r="AM600" s="171"/>
      <c r="AN600" s="171"/>
      <c r="AO600" s="171"/>
      <c r="AP600" s="171"/>
      <c r="AQ600" s="171"/>
      <c r="AR600" s="171"/>
      <c r="AS600" s="171"/>
      <c r="AT600" s="171"/>
      <c r="AU600" s="171"/>
      <c r="AV600" s="171"/>
      <c r="AW600" s="171"/>
      <c r="AX600" s="171"/>
      <c r="AY600" s="171"/>
      <c r="AZ600" s="171"/>
      <c r="BA600" s="171"/>
      <c r="BB600" s="171"/>
      <c r="BC600" s="171"/>
      <c r="BD600" s="171"/>
      <c r="BE600" s="171"/>
      <c r="BF600" s="171"/>
      <c r="BG600" s="171"/>
      <c r="BH600" s="171"/>
    </row>
    <row r="601" spans="1:60" outlineLevel="3" x14ac:dyDescent="0.2">
      <c r="A601" s="172"/>
      <c r="B601" s="173"/>
      <c r="C601" s="174" t="s">
        <v>256</v>
      </c>
      <c r="D601" s="175"/>
      <c r="E601" s="176">
        <v>9.6639999999999997</v>
      </c>
      <c r="F601" s="196"/>
      <c r="G601" s="169"/>
      <c r="H601" s="169"/>
      <c r="I601" s="169"/>
      <c r="J601" s="169"/>
      <c r="K601" s="169"/>
      <c r="L601" s="169"/>
      <c r="M601" s="169"/>
      <c r="N601" s="170"/>
      <c r="O601" s="170"/>
      <c r="P601" s="170"/>
      <c r="Q601" s="170"/>
      <c r="R601" s="169"/>
      <c r="S601" s="169"/>
      <c r="T601" s="169"/>
      <c r="U601" s="169"/>
      <c r="V601" s="169"/>
      <c r="W601" s="169"/>
      <c r="X601" s="169"/>
      <c r="Y601" s="169"/>
      <c r="Z601" s="171"/>
      <c r="AA601" s="171"/>
      <c r="AB601" s="171"/>
      <c r="AC601" s="171"/>
      <c r="AD601" s="171"/>
      <c r="AE601" s="171"/>
      <c r="AF601" s="171"/>
      <c r="AG601" s="171" t="s">
        <v>148</v>
      </c>
      <c r="AH601" s="171">
        <v>0</v>
      </c>
      <c r="AI601" s="171"/>
      <c r="AJ601" s="171"/>
      <c r="AK601" s="171"/>
      <c r="AL601" s="171"/>
      <c r="AM601" s="171"/>
      <c r="AN601" s="171"/>
      <c r="AO601" s="171"/>
      <c r="AP601" s="171"/>
      <c r="AQ601" s="171"/>
      <c r="AR601" s="171"/>
      <c r="AS601" s="171"/>
      <c r="AT601" s="171"/>
      <c r="AU601" s="171"/>
      <c r="AV601" s="171"/>
      <c r="AW601" s="171"/>
      <c r="AX601" s="171"/>
      <c r="AY601" s="171"/>
      <c r="AZ601" s="171"/>
      <c r="BA601" s="171"/>
      <c r="BB601" s="171"/>
      <c r="BC601" s="171"/>
      <c r="BD601" s="171"/>
      <c r="BE601" s="171"/>
      <c r="BF601" s="171"/>
      <c r="BG601" s="171"/>
      <c r="BH601" s="171"/>
    </row>
    <row r="602" spans="1:60" outlineLevel="3" x14ac:dyDescent="0.2">
      <c r="A602" s="172"/>
      <c r="B602" s="173"/>
      <c r="C602" s="174" t="s">
        <v>600</v>
      </c>
      <c r="D602" s="175"/>
      <c r="E602" s="176">
        <v>6.6866000000000003</v>
      </c>
      <c r="F602" s="196"/>
      <c r="G602" s="169"/>
      <c r="H602" s="169"/>
      <c r="I602" s="169"/>
      <c r="J602" s="169"/>
      <c r="K602" s="169"/>
      <c r="L602" s="169"/>
      <c r="M602" s="169"/>
      <c r="N602" s="170"/>
      <c r="O602" s="170"/>
      <c r="P602" s="170"/>
      <c r="Q602" s="170"/>
      <c r="R602" s="169"/>
      <c r="S602" s="169"/>
      <c r="T602" s="169"/>
      <c r="U602" s="169"/>
      <c r="V602" s="169"/>
      <c r="W602" s="169"/>
      <c r="X602" s="169"/>
      <c r="Y602" s="169"/>
      <c r="Z602" s="171"/>
      <c r="AA602" s="171"/>
      <c r="AB602" s="171"/>
      <c r="AC602" s="171"/>
      <c r="AD602" s="171"/>
      <c r="AE602" s="171"/>
      <c r="AF602" s="171"/>
      <c r="AG602" s="171" t="s">
        <v>148</v>
      </c>
      <c r="AH602" s="171">
        <v>0</v>
      </c>
      <c r="AI602" s="171"/>
      <c r="AJ602" s="171"/>
      <c r="AK602" s="171"/>
      <c r="AL602" s="171"/>
      <c r="AM602" s="171"/>
      <c r="AN602" s="171"/>
      <c r="AO602" s="171"/>
      <c r="AP602" s="171"/>
      <c r="AQ602" s="171"/>
      <c r="AR602" s="171"/>
      <c r="AS602" s="171"/>
      <c r="AT602" s="171"/>
      <c r="AU602" s="171"/>
      <c r="AV602" s="171"/>
      <c r="AW602" s="171"/>
      <c r="AX602" s="171"/>
      <c r="AY602" s="171"/>
      <c r="AZ602" s="171"/>
      <c r="BA602" s="171"/>
      <c r="BB602" s="171"/>
      <c r="BC602" s="171"/>
      <c r="BD602" s="171"/>
      <c r="BE602" s="171"/>
      <c r="BF602" s="171"/>
      <c r="BG602" s="171"/>
      <c r="BH602" s="171"/>
    </row>
    <row r="603" spans="1:60" outlineLevel="3" x14ac:dyDescent="0.2">
      <c r="A603" s="172"/>
      <c r="B603" s="173"/>
      <c r="C603" s="174" t="s">
        <v>258</v>
      </c>
      <c r="D603" s="175"/>
      <c r="E603" s="176">
        <v>12.864000000000001</v>
      </c>
      <c r="F603" s="196"/>
      <c r="G603" s="169"/>
      <c r="H603" s="169"/>
      <c r="I603" s="169"/>
      <c r="J603" s="169"/>
      <c r="K603" s="169"/>
      <c r="L603" s="169"/>
      <c r="M603" s="169"/>
      <c r="N603" s="170"/>
      <c r="O603" s="170"/>
      <c r="P603" s="170"/>
      <c r="Q603" s="170"/>
      <c r="R603" s="169"/>
      <c r="S603" s="169"/>
      <c r="T603" s="169"/>
      <c r="U603" s="169"/>
      <c r="V603" s="169"/>
      <c r="W603" s="169"/>
      <c r="X603" s="169"/>
      <c r="Y603" s="169"/>
      <c r="Z603" s="171"/>
      <c r="AA603" s="171"/>
      <c r="AB603" s="171"/>
      <c r="AC603" s="171"/>
      <c r="AD603" s="171"/>
      <c r="AE603" s="171"/>
      <c r="AF603" s="171"/>
      <c r="AG603" s="171" t="s">
        <v>148</v>
      </c>
      <c r="AH603" s="171">
        <v>0</v>
      </c>
      <c r="AI603" s="171"/>
      <c r="AJ603" s="171"/>
      <c r="AK603" s="171"/>
      <c r="AL603" s="171"/>
      <c r="AM603" s="171"/>
      <c r="AN603" s="171"/>
      <c r="AO603" s="171"/>
      <c r="AP603" s="171"/>
      <c r="AQ603" s="171"/>
      <c r="AR603" s="171"/>
      <c r="AS603" s="171"/>
      <c r="AT603" s="171"/>
      <c r="AU603" s="171"/>
      <c r="AV603" s="171"/>
      <c r="AW603" s="171"/>
      <c r="AX603" s="171"/>
      <c r="AY603" s="171"/>
      <c r="AZ603" s="171"/>
      <c r="BA603" s="171"/>
      <c r="BB603" s="171"/>
      <c r="BC603" s="171"/>
      <c r="BD603" s="171"/>
      <c r="BE603" s="171"/>
      <c r="BF603" s="171"/>
      <c r="BG603" s="171"/>
      <c r="BH603" s="171"/>
    </row>
    <row r="604" spans="1:60" outlineLevel="3" x14ac:dyDescent="0.2">
      <c r="A604" s="172"/>
      <c r="B604" s="173"/>
      <c r="C604" s="174" t="s">
        <v>259</v>
      </c>
      <c r="D604" s="175"/>
      <c r="E604" s="176">
        <v>8.2560000000000002</v>
      </c>
      <c r="F604" s="196"/>
      <c r="G604" s="169"/>
      <c r="H604" s="169"/>
      <c r="I604" s="169"/>
      <c r="J604" s="169"/>
      <c r="K604" s="169"/>
      <c r="L604" s="169"/>
      <c r="M604" s="169"/>
      <c r="N604" s="170"/>
      <c r="O604" s="170"/>
      <c r="P604" s="170"/>
      <c r="Q604" s="170"/>
      <c r="R604" s="169"/>
      <c r="S604" s="169"/>
      <c r="T604" s="169"/>
      <c r="U604" s="169"/>
      <c r="V604" s="169"/>
      <c r="W604" s="169"/>
      <c r="X604" s="169"/>
      <c r="Y604" s="169"/>
      <c r="Z604" s="171"/>
      <c r="AA604" s="171"/>
      <c r="AB604" s="171"/>
      <c r="AC604" s="171"/>
      <c r="AD604" s="171"/>
      <c r="AE604" s="171"/>
      <c r="AF604" s="171"/>
      <c r="AG604" s="171" t="s">
        <v>148</v>
      </c>
      <c r="AH604" s="171">
        <v>0</v>
      </c>
      <c r="AI604" s="171"/>
      <c r="AJ604" s="171"/>
      <c r="AK604" s="171"/>
      <c r="AL604" s="171"/>
      <c r="AM604" s="171"/>
      <c r="AN604" s="171"/>
      <c r="AO604" s="171"/>
      <c r="AP604" s="171"/>
      <c r="AQ604" s="171"/>
      <c r="AR604" s="171"/>
      <c r="AS604" s="171"/>
      <c r="AT604" s="171"/>
      <c r="AU604" s="171"/>
      <c r="AV604" s="171"/>
      <c r="AW604" s="171"/>
      <c r="AX604" s="171"/>
      <c r="AY604" s="171"/>
      <c r="AZ604" s="171"/>
      <c r="BA604" s="171"/>
      <c r="BB604" s="171"/>
      <c r="BC604" s="171"/>
      <c r="BD604" s="171"/>
      <c r="BE604" s="171"/>
      <c r="BF604" s="171"/>
      <c r="BG604" s="171"/>
      <c r="BH604" s="171"/>
    </row>
    <row r="605" spans="1:60" outlineLevel="3" x14ac:dyDescent="0.2">
      <c r="A605" s="172"/>
      <c r="B605" s="173"/>
      <c r="C605" s="174" t="s">
        <v>260</v>
      </c>
      <c r="D605" s="175"/>
      <c r="E605" s="176">
        <v>7.3280000000000003</v>
      </c>
      <c r="F605" s="196"/>
      <c r="G605" s="169"/>
      <c r="H605" s="169"/>
      <c r="I605" s="169"/>
      <c r="J605" s="169"/>
      <c r="K605" s="169"/>
      <c r="L605" s="169"/>
      <c r="M605" s="169"/>
      <c r="N605" s="170"/>
      <c r="O605" s="170"/>
      <c r="P605" s="170"/>
      <c r="Q605" s="170"/>
      <c r="R605" s="169"/>
      <c r="S605" s="169"/>
      <c r="T605" s="169"/>
      <c r="U605" s="169"/>
      <c r="V605" s="169"/>
      <c r="W605" s="169"/>
      <c r="X605" s="169"/>
      <c r="Y605" s="169"/>
      <c r="Z605" s="171"/>
      <c r="AA605" s="171"/>
      <c r="AB605" s="171"/>
      <c r="AC605" s="171"/>
      <c r="AD605" s="171"/>
      <c r="AE605" s="171"/>
      <c r="AF605" s="171"/>
      <c r="AG605" s="171" t="s">
        <v>148</v>
      </c>
      <c r="AH605" s="171">
        <v>0</v>
      </c>
      <c r="AI605" s="171"/>
      <c r="AJ605" s="171"/>
      <c r="AK605" s="171"/>
      <c r="AL605" s="171"/>
      <c r="AM605" s="171"/>
      <c r="AN605" s="171"/>
      <c r="AO605" s="171"/>
      <c r="AP605" s="171"/>
      <c r="AQ605" s="171"/>
      <c r="AR605" s="171"/>
      <c r="AS605" s="171"/>
      <c r="AT605" s="171"/>
      <c r="AU605" s="171"/>
      <c r="AV605" s="171"/>
      <c r="AW605" s="171"/>
      <c r="AX605" s="171"/>
      <c r="AY605" s="171"/>
      <c r="AZ605" s="171"/>
      <c r="BA605" s="171"/>
      <c r="BB605" s="171"/>
      <c r="BC605" s="171"/>
      <c r="BD605" s="171"/>
      <c r="BE605" s="171"/>
      <c r="BF605" s="171"/>
      <c r="BG605" s="171"/>
      <c r="BH605" s="171"/>
    </row>
    <row r="606" spans="1:60" outlineLevel="3" x14ac:dyDescent="0.2">
      <c r="A606" s="172"/>
      <c r="B606" s="173"/>
      <c r="C606" s="174" t="s">
        <v>261</v>
      </c>
      <c r="D606" s="175"/>
      <c r="E606" s="176">
        <v>10.688000000000001</v>
      </c>
      <c r="F606" s="196"/>
      <c r="G606" s="169"/>
      <c r="H606" s="169"/>
      <c r="I606" s="169"/>
      <c r="J606" s="169"/>
      <c r="K606" s="169"/>
      <c r="L606" s="169"/>
      <c r="M606" s="169"/>
      <c r="N606" s="170"/>
      <c r="O606" s="170"/>
      <c r="P606" s="170"/>
      <c r="Q606" s="170"/>
      <c r="R606" s="169"/>
      <c r="S606" s="169"/>
      <c r="T606" s="169"/>
      <c r="U606" s="169"/>
      <c r="V606" s="169"/>
      <c r="W606" s="169"/>
      <c r="X606" s="169"/>
      <c r="Y606" s="169"/>
      <c r="Z606" s="171"/>
      <c r="AA606" s="171"/>
      <c r="AB606" s="171"/>
      <c r="AC606" s="171"/>
      <c r="AD606" s="171"/>
      <c r="AE606" s="171"/>
      <c r="AF606" s="171"/>
      <c r="AG606" s="171" t="s">
        <v>148</v>
      </c>
      <c r="AH606" s="171">
        <v>0</v>
      </c>
      <c r="AI606" s="171"/>
      <c r="AJ606" s="171"/>
      <c r="AK606" s="171"/>
      <c r="AL606" s="171"/>
      <c r="AM606" s="171"/>
      <c r="AN606" s="171"/>
      <c r="AO606" s="171"/>
      <c r="AP606" s="171"/>
      <c r="AQ606" s="171"/>
      <c r="AR606" s="171"/>
      <c r="AS606" s="171"/>
      <c r="AT606" s="171"/>
      <c r="AU606" s="171"/>
      <c r="AV606" s="171"/>
      <c r="AW606" s="171"/>
      <c r="AX606" s="171"/>
      <c r="AY606" s="171"/>
      <c r="AZ606" s="171"/>
      <c r="BA606" s="171"/>
      <c r="BB606" s="171"/>
      <c r="BC606" s="171"/>
      <c r="BD606" s="171"/>
      <c r="BE606" s="171"/>
      <c r="BF606" s="171"/>
      <c r="BG606" s="171"/>
      <c r="BH606" s="171"/>
    </row>
    <row r="607" spans="1:60" outlineLevel="3" x14ac:dyDescent="0.2">
      <c r="A607" s="172"/>
      <c r="B607" s="173"/>
      <c r="C607" s="174" t="s">
        <v>152</v>
      </c>
      <c r="D607" s="175"/>
      <c r="E607" s="176"/>
      <c r="F607" s="196"/>
      <c r="G607" s="169"/>
      <c r="H607" s="169"/>
      <c r="I607" s="169"/>
      <c r="J607" s="169"/>
      <c r="K607" s="169"/>
      <c r="L607" s="169"/>
      <c r="M607" s="169"/>
      <c r="N607" s="170"/>
      <c r="O607" s="170"/>
      <c r="P607" s="170"/>
      <c r="Q607" s="170"/>
      <c r="R607" s="169"/>
      <c r="S607" s="169"/>
      <c r="T607" s="169"/>
      <c r="U607" s="169"/>
      <c r="V607" s="169"/>
      <c r="W607" s="169"/>
      <c r="X607" s="169"/>
      <c r="Y607" s="169"/>
      <c r="Z607" s="171"/>
      <c r="AA607" s="171"/>
      <c r="AB607" s="171"/>
      <c r="AC607" s="171"/>
      <c r="AD607" s="171"/>
      <c r="AE607" s="171"/>
      <c r="AF607" s="171"/>
      <c r="AG607" s="171" t="s">
        <v>148</v>
      </c>
      <c r="AH607" s="171">
        <v>0</v>
      </c>
      <c r="AI607" s="171"/>
      <c r="AJ607" s="171"/>
      <c r="AK607" s="171"/>
      <c r="AL607" s="171"/>
      <c r="AM607" s="171"/>
      <c r="AN607" s="171"/>
      <c r="AO607" s="171"/>
      <c r="AP607" s="171"/>
      <c r="AQ607" s="171"/>
      <c r="AR607" s="171"/>
      <c r="AS607" s="171"/>
      <c r="AT607" s="171"/>
      <c r="AU607" s="171"/>
      <c r="AV607" s="171"/>
      <c r="AW607" s="171"/>
      <c r="AX607" s="171"/>
      <c r="AY607" s="171"/>
      <c r="AZ607" s="171"/>
      <c r="BA607" s="171"/>
      <c r="BB607" s="171"/>
      <c r="BC607" s="171"/>
      <c r="BD607" s="171"/>
      <c r="BE607" s="171"/>
      <c r="BF607" s="171"/>
      <c r="BG607" s="171"/>
      <c r="BH607" s="171"/>
    </row>
    <row r="608" spans="1:60" outlineLevel="3" x14ac:dyDescent="0.2">
      <c r="A608" s="172"/>
      <c r="B608" s="173"/>
      <c r="C608" s="174" t="s">
        <v>254</v>
      </c>
      <c r="D608" s="175"/>
      <c r="E608" s="176">
        <v>9.44</v>
      </c>
      <c r="F608" s="196"/>
      <c r="G608" s="169"/>
      <c r="H608" s="169"/>
      <c r="I608" s="169"/>
      <c r="J608" s="169"/>
      <c r="K608" s="169"/>
      <c r="L608" s="169"/>
      <c r="M608" s="169"/>
      <c r="N608" s="170"/>
      <c r="O608" s="170"/>
      <c r="P608" s="170"/>
      <c r="Q608" s="170"/>
      <c r="R608" s="169"/>
      <c r="S608" s="169"/>
      <c r="T608" s="169"/>
      <c r="U608" s="169"/>
      <c r="V608" s="169"/>
      <c r="W608" s="169"/>
      <c r="X608" s="169"/>
      <c r="Y608" s="169"/>
      <c r="Z608" s="171"/>
      <c r="AA608" s="171"/>
      <c r="AB608" s="171"/>
      <c r="AC608" s="171"/>
      <c r="AD608" s="171"/>
      <c r="AE608" s="171"/>
      <c r="AF608" s="171"/>
      <c r="AG608" s="171" t="s">
        <v>148</v>
      </c>
      <c r="AH608" s="171">
        <v>0</v>
      </c>
      <c r="AI608" s="171"/>
      <c r="AJ608" s="171"/>
      <c r="AK608" s="171"/>
      <c r="AL608" s="171"/>
      <c r="AM608" s="171"/>
      <c r="AN608" s="171"/>
      <c r="AO608" s="171"/>
      <c r="AP608" s="171"/>
      <c r="AQ608" s="171"/>
      <c r="AR608" s="171"/>
      <c r="AS608" s="171"/>
      <c r="AT608" s="171"/>
      <c r="AU608" s="171"/>
      <c r="AV608" s="171"/>
      <c r="AW608" s="171"/>
      <c r="AX608" s="171"/>
      <c r="AY608" s="171"/>
      <c r="AZ608" s="171"/>
      <c r="BA608" s="171"/>
      <c r="BB608" s="171"/>
      <c r="BC608" s="171"/>
      <c r="BD608" s="171"/>
      <c r="BE608" s="171"/>
      <c r="BF608" s="171"/>
      <c r="BG608" s="171"/>
      <c r="BH608" s="171"/>
    </row>
    <row r="609" spans="1:60" outlineLevel="3" x14ac:dyDescent="0.2">
      <c r="A609" s="172"/>
      <c r="B609" s="173"/>
      <c r="C609" s="174" t="s">
        <v>601</v>
      </c>
      <c r="D609" s="175"/>
      <c r="E609" s="176">
        <v>6.4989999999999997</v>
      </c>
      <c r="F609" s="196"/>
      <c r="G609" s="169"/>
      <c r="H609" s="169"/>
      <c r="I609" s="169"/>
      <c r="J609" s="169"/>
      <c r="K609" s="169"/>
      <c r="L609" s="169"/>
      <c r="M609" s="169"/>
      <c r="N609" s="170"/>
      <c r="O609" s="170"/>
      <c r="P609" s="170"/>
      <c r="Q609" s="170"/>
      <c r="R609" s="169"/>
      <c r="S609" s="169"/>
      <c r="T609" s="169"/>
      <c r="U609" s="169"/>
      <c r="V609" s="169"/>
      <c r="W609" s="169"/>
      <c r="X609" s="169"/>
      <c r="Y609" s="169"/>
      <c r="Z609" s="171"/>
      <c r="AA609" s="171"/>
      <c r="AB609" s="171"/>
      <c r="AC609" s="171"/>
      <c r="AD609" s="171"/>
      <c r="AE609" s="171"/>
      <c r="AF609" s="171"/>
      <c r="AG609" s="171" t="s">
        <v>148</v>
      </c>
      <c r="AH609" s="171">
        <v>0</v>
      </c>
      <c r="AI609" s="171"/>
      <c r="AJ609" s="171"/>
      <c r="AK609" s="171"/>
      <c r="AL609" s="171"/>
      <c r="AM609" s="171"/>
      <c r="AN609" s="171"/>
      <c r="AO609" s="171"/>
      <c r="AP609" s="171"/>
      <c r="AQ609" s="171"/>
      <c r="AR609" s="171"/>
      <c r="AS609" s="171"/>
      <c r="AT609" s="171"/>
      <c r="AU609" s="171"/>
      <c r="AV609" s="171"/>
      <c r="AW609" s="171"/>
      <c r="AX609" s="171"/>
      <c r="AY609" s="171"/>
      <c r="AZ609" s="171"/>
      <c r="BA609" s="171"/>
      <c r="BB609" s="171"/>
      <c r="BC609" s="171"/>
      <c r="BD609" s="171"/>
      <c r="BE609" s="171"/>
      <c r="BF609" s="171"/>
      <c r="BG609" s="171"/>
      <c r="BH609" s="171"/>
    </row>
    <row r="610" spans="1:60" outlineLevel="3" x14ac:dyDescent="0.2">
      <c r="A610" s="172"/>
      <c r="B610" s="173"/>
      <c r="C610" s="174" t="s">
        <v>263</v>
      </c>
      <c r="D610" s="175"/>
      <c r="E610" s="176">
        <v>9.8879999999999999</v>
      </c>
      <c r="F610" s="196"/>
      <c r="G610" s="169"/>
      <c r="H610" s="169"/>
      <c r="I610" s="169"/>
      <c r="J610" s="169"/>
      <c r="K610" s="169"/>
      <c r="L610" s="169"/>
      <c r="M610" s="169"/>
      <c r="N610" s="170"/>
      <c r="O610" s="170"/>
      <c r="P610" s="170"/>
      <c r="Q610" s="170"/>
      <c r="R610" s="169"/>
      <c r="S610" s="169"/>
      <c r="T610" s="169"/>
      <c r="U610" s="169"/>
      <c r="V610" s="169"/>
      <c r="W610" s="169"/>
      <c r="X610" s="169"/>
      <c r="Y610" s="169"/>
      <c r="Z610" s="171"/>
      <c r="AA610" s="171"/>
      <c r="AB610" s="171"/>
      <c r="AC610" s="171"/>
      <c r="AD610" s="171"/>
      <c r="AE610" s="171"/>
      <c r="AF610" s="171"/>
      <c r="AG610" s="171" t="s">
        <v>148</v>
      </c>
      <c r="AH610" s="171">
        <v>0</v>
      </c>
      <c r="AI610" s="171"/>
      <c r="AJ610" s="171"/>
      <c r="AK610" s="171"/>
      <c r="AL610" s="171"/>
      <c r="AM610" s="171"/>
      <c r="AN610" s="171"/>
      <c r="AO610" s="171"/>
      <c r="AP610" s="171"/>
      <c r="AQ610" s="171"/>
      <c r="AR610" s="171"/>
      <c r="AS610" s="171"/>
      <c r="AT610" s="171"/>
      <c r="AU610" s="171"/>
      <c r="AV610" s="171"/>
      <c r="AW610" s="171"/>
      <c r="AX610" s="171"/>
      <c r="AY610" s="171"/>
      <c r="AZ610" s="171"/>
      <c r="BA610" s="171"/>
      <c r="BB610" s="171"/>
      <c r="BC610" s="171"/>
      <c r="BD610" s="171"/>
      <c r="BE610" s="171"/>
      <c r="BF610" s="171"/>
      <c r="BG610" s="171"/>
      <c r="BH610" s="171"/>
    </row>
    <row r="611" spans="1:60" outlineLevel="3" x14ac:dyDescent="0.2">
      <c r="A611" s="172"/>
      <c r="B611" s="173"/>
      <c r="C611" s="174" t="s">
        <v>602</v>
      </c>
      <c r="D611" s="175"/>
      <c r="E611" s="176">
        <v>6.9278000000000004</v>
      </c>
      <c r="F611" s="196"/>
      <c r="G611" s="169"/>
      <c r="H611" s="169"/>
      <c r="I611" s="169"/>
      <c r="J611" s="169"/>
      <c r="K611" s="169"/>
      <c r="L611" s="169"/>
      <c r="M611" s="169"/>
      <c r="N611" s="170"/>
      <c r="O611" s="170"/>
      <c r="P611" s="170"/>
      <c r="Q611" s="170"/>
      <c r="R611" s="169"/>
      <c r="S611" s="169"/>
      <c r="T611" s="169"/>
      <c r="U611" s="169"/>
      <c r="V611" s="169"/>
      <c r="W611" s="169"/>
      <c r="X611" s="169"/>
      <c r="Y611" s="169"/>
      <c r="Z611" s="171"/>
      <c r="AA611" s="171"/>
      <c r="AB611" s="171"/>
      <c r="AC611" s="171"/>
      <c r="AD611" s="171"/>
      <c r="AE611" s="171"/>
      <c r="AF611" s="171"/>
      <c r="AG611" s="171" t="s">
        <v>148</v>
      </c>
      <c r="AH611" s="171">
        <v>0</v>
      </c>
      <c r="AI611" s="171"/>
      <c r="AJ611" s="171"/>
      <c r="AK611" s="171"/>
      <c r="AL611" s="171"/>
      <c r="AM611" s="171"/>
      <c r="AN611" s="171"/>
      <c r="AO611" s="171"/>
      <c r="AP611" s="171"/>
      <c r="AQ611" s="171"/>
      <c r="AR611" s="171"/>
      <c r="AS611" s="171"/>
      <c r="AT611" s="171"/>
      <c r="AU611" s="171"/>
      <c r="AV611" s="171"/>
      <c r="AW611" s="171"/>
      <c r="AX611" s="171"/>
      <c r="AY611" s="171"/>
      <c r="AZ611" s="171"/>
      <c r="BA611" s="171"/>
      <c r="BB611" s="171"/>
      <c r="BC611" s="171"/>
      <c r="BD611" s="171"/>
      <c r="BE611" s="171"/>
      <c r="BF611" s="171"/>
      <c r="BG611" s="171"/>
      <c r="BH611" s="171"/>
    </row>
    <row r="612" spans="1:60" outlineLevel="3" x14ac:dyDescent="0.2">
      <c r="A612" s="172"/>
      <c r="B612" s="173"/>
      <c r="C612" s="174" t="s">
        <v>265</v>
      </c>
      <c r="D612" s="175"/>
      <c r="E612" s="176">
        <v>12.672000000000001</v>
      </c>
      <c r="F612" s="196"/>
      <c r="G612" s="169"/>
      <c r="H612" s="169"/>
      <c r="I612" s="169"/>
      <c r="J612" s="169"/>
      <c r="K612" s="169"/>
      <c r="L612" s="169"/>
      <c r="M612" s="169"/>
      <c r="N612" s="170"/>
      <c r="O612" s="170"/>
      <c r="P612" s="170"/>
      <c r="Q612" s="170"/>
      <c r="R612" s="169"/>
      <c r="S612" s="169"/>
      <c r="T612" s="169"/>
      <c r="U612" s="169"/>
      <c r="V612" s="169"/>
      <c r="W612" s="169"/>
      <c r="X612" s="169"/>
      <c r="Y612" s="169"/>
      <c r="Z612" s="171"/>
      <c r="AA612" s="171"/>
      <c r="AB612" s="171"/>
      <c r="AC612" s="171"/>
      <c r="AD612" s="171"/>
      <c r="AE612" s="171"/>
      <c r="AF612" s="171"/>
      <c r="AG612" s="171" t="s">
        <v>148</v>
      </c>
      <c r="AH612" s="171">
        <v>0</v>
      </c>
      <c r="AI612" s="171"/>
      <c r="AJ612" s="171"/>
      <c r="AK612" s="171"/>
      <c r="AL612" s="171"/>
      <c r="AM612" s="171"/>
      <c r="AN612" s="171"/>
      <c r="AO612" s="171"/>
      <c r="AP612" s="171"/>
      <c r="AQ612" s="171"/>
      <c r="AR612" s="171"/>
      <c r="AS612" s="171"/>
      <c r="AT612" s="171"/>
      <c r="AU612" s="171"/>
      <c r="AV612" s="171"/>
      <c r="AW612" s="171"/>
      <c r="AX612" s="171"/>
      <c r="AY612" s="171"/>
      <c r="AZ612" s="171"/>
      <c r="BA612" s="171"/>
      <c r="BB612" s="171"/>
      <c r="BC612" s="171"/>
      <c r="BD612" s="171"/>
      <c r="BE612" s="171"/>
      <c r="BF612" s="171"/>
      <c r="BG612" s="171"/>
      <c r="BH612" s="171"/>
    </row>
    <row r="613" spans="1:60" outlineLevel="3" x14ac:dyDescent="0.2">
      <c r="A613" s="172"/>
      <c r="B613" s="173"/>
      <c r="C613" s="174" t="s">
        <v>266</v>
      </c>
      <c r="D613" s="175"/>
      <c r="E613" s="176">
        <v>8.8000000000000007</v>
      </c>
      <c r="F613" s="196"/>
      <c r="G613" s="169"/>
      <c r="H613" s="169"/>
      <c r="I613" s="169"/>
      <c r="J613" s="169"/>
      <c r="K613" s="169"/>
      <c r="L613" s="169"/>
      <c r="M613" s="169"/>
      <c r="N613" s="170"/>
      <c r="O613" s="170"/>
      <c r="P613" s="170"/>
      <c r="Q613" s="170"/>
      <c r="R613" s="169"/>
      <c r="S613" s="169"/>
      <c r="T613" s="169"/>
      <c r="U613" s="169"/>
      <c r="V613" s="169"/>
      <c r="W613" s="169"/>
      <c r="X613" s="169"/>
      <c r="Y613" s="169"/>
      <c r="Z613" s="171"/>
      <c r="AA613" s="171"/>
      <c r="AB613" s="171"/>
      <c r="AC613" s="171"/>
      <c r="AD613" s="171"/>
      <c r="AE613" s="171"/>
      <c r="AF613" s="171"/>
      <c r="AG613" s="171" t="s">
        <v>148</v>
      </c>
      <c r="AH613" s="171">
        <v>0</v>
      </c>
      <c r="AI613" s="171"/>
      <c r="AJ613" s="171"/>
      <c r="AK613" s="171"/>
      <c r="AL613" s="171"/>
      <c r="AM613" s="171"/>
      <c r="AN613" s="171"/>
      <c r="AO613" s="171"/>
      <c r="AP613" s="171"/>
      <c r="AQ613" s="171"/>
      <c r="AR613" s="171"/>
      <c r="AS613" s="171"/>
      <c r="AT613" s="171"/>
      <c r="AU613" s="171"/>
      <c r="AV613" s="171"/>
      <c r="AW613" s="171"/>
      <c r="AX613" s="171"/>
      <c r="AY613" s="171"/>
      <c r="AZ613" s="171"/>
      <c r="BA613" s="171"/>
      <c r="BB613" s="171"/>
      <c r="BC613" s="171"/>
      <c r="BD613" s="171"/>
      <c r="BE613" s="171"/>
      <c r="BF613" s="171"/>
      <c r="BG613" s="171"/>
      <c r="BH613" s="171"/>
    </row>
    <row r="614" spans="1:60" outlineLevel="3" x14ac:dyDescent="0.2">
      <c r="A614" s="172"/>
      <c r="B614" s="173"/>
      <c r="C614" s="174" t="s">
        <v>267</v>
      </c>
      <c r="D614" s="175"/>
      <c r="E614" s="176">
        <v>7.5839999999999996</v>
      </c>
      <c r="F614" s="196"/>
      <c r="G614" s="169"/>
      <c r="H614" s="169"/>
      <c r="I614" s="169"/>
      <c r="J614" s="169"/>
      <c r="K614" s="169"/>
      <c r="L614" s="169"/>
      <c r="M614" s="169"/>
      <c r="N614" s="170"/>
      <c r="O614" s="170"/>
      <c r="P614" s="170"/>
      <c r="Q614" s="170"/>
      <c r="R614" s="169"/>
      <c r="S614" s="169"/>
      <c r="T614" s="169"/>
      <c r="U614" s="169"/>
      <c r="V614" s="169"/>
      <c r="W614" s="169"/>
      <c r="X614" s="169"/>
      <c r="Y614" s="169"/>
      <c r="Z614" s="171"/>
      <c r="AA614" s="171"/>
      <c r="AB614" s="171"/>
      <c r="AC614" s="171"/>
      <c r="AD614" s="171"/>
      <c r="AE614" s="171"/>
      <c r="AF614" s="171"/>
      <c r="AG614" s="171" t="s">
        <v>148</v>
      </c>
      <c r="AH614" s="171">
        <v>0</v>
      </c>
      <c r="AI614" s="171"/>
      <c r="AJ614" s="171"/>
      <c r="AK614" s="171"/>
      <c r="AL614" s="171"/>
      <c r="AM614" s="171"/>
      <c r="AN614" s="171"/>
      <c r="AO614" s="171"/>
      <c r="AP614" s="171"/>
      <c r="AQ614" s="171"/>
      <c r="AR614" s="171"/>
      <c r="AS614" s="171"/>
      <c r="AT614" s="171"/>
      <c r="AU614" s="171"/>
      <c r="AV614" s="171"/>
      <c r="AW614" s="171"/>
      <c r="AX614" s="171"/>
      <c r="AY614" s="171"/>
      <c r="AZ614" s="171"/>
      <c r="BA614" s="171"/>
      <c r="BB614" s="171"/>
      <c r="BC614" s="171"/>
      <c r="BD614" s="171"/>
      <c r="BE614" s="171"/>
      <c r="BF614" s="171"/>
      <c r="BG614" s="171"/>
      <c r="BH614" s="171"/>
    </row>
    <row r="615" spans="1:60" outlineLevel="3" x14ac:dyDescent="0.2">
      <c r="A615" s="172"/>
      <c r="B615" s="173"/>
      <c r="C615" s="174" t="s">
        <v>268</v>
      </c>
      <c r="D615" s="175"/>
      <c r="E615" s="176">
        <v>11.68</v>
      </c>
      <c r="F615" s="196"/>
      <c r="G615" s="169"/>
      <c r="H615" s="169"/>
      <c r="I615" s="169"/>
      <c r="J615" s="169"/>
      <c r="K615" s="169"/>
      <c r="L615" s="169"/>
      <c r="M615" s="169"/>
      <c r="N615" s="170"/>
      <c r="O615" s="170"/>
      <c r="P615" s="170"/>
      <c r="Q615" s="170"/>
      <c r="R615" s="169"/>
      <c r="S615" s="169"/>
      <c r="T615" s="169"/>
      <c r="U615" s="169"/>
      <c r="V615" s="169"/>
      <c r="W615" s="169"/>
      <c r="X615" s="169"/>
      <c r="Y615" s="169"/>
      <c r="Z615" s="171"/>
      <c r="AA615" s="171"/>
      <c r="AB615" s="171"/>
      <c r="AC615" s="171"/>
      <c r="AD615" s="171"/>
      <c r="AE615" s="171"/>
      <c r="AF615" s="171"/>
      <c r="AG615" s="171" t="s">
        <v>148</v>
      </c>
      <c r="AH615" s="171">
        <v>0</v>
      </c>
      <c r="AI615" s="171"/>
      <c r="AJ615" s="171"/>
      <c r="AK615" s="171"/>
      <c r="AL615" s="171"/>
      <c r="AM615" s="171"/>
      <c r="AN615" s="171"/>
      <c r="AO615" s="171"/>
      <c r="AP615" s="171"/>
      <c r="AQ615" s="171"/>
      <c r="AR615" s="171"/>
      <c r="AS615" s="171"/>
      <c r="AT615" s="171"/>
      <c r="AU615" s="171"/>
      <c r="AV615" s="171"/>
      <c r="AW615" s="171"/>
      <c r="AX615" s="171"/>
      <c r="AY615" s="171"/>
      <c r="AZ615" s="171"/>
      <c r="BA615" s="171"/>
      <c r="BB615" s="171"/>
      <c r="BC615" s="171"/>
      <c r="BD615" s="171"/>
      <c r="BE615" s="171"/>
      <c r="BF615" s="171"/>
      <c r="BG615" s="171"/>
      <c r="BH615" s="171"/>
    </row>
    <row r="616" spans="1:60" ht="22.5" outlineLevel="1" x14ac:dyDescent="0.2">
      <c r="A616" s="162">
        <v>101</v>
      </c>
      <c r="B616" s="163" t="s">
        <v>603</v>
      </c>
      <c r="C616" s="164" t="s">
        <v>604</v>
      </c>
      <c r="D616" s="165" t="s">
        <v>375</v>
      </c>
      <c r="E616" s="166">
        <v>208.03</v>
      </c>
      <c r="F616" s="140"/>
      <c r="G616" s="167">
        <f>ROUND(E616*F616,2)</f>
        <v>0</v>
      </c>
      <c r="H616" s="168"/>
      <c r="I616" s="169">
        <f>ROUND(E616*H616,2)</f>
        <v>0</v>
      </c>
      <c r="J616" s="168"/>
      <c r="K616" s="169">
        <f>ROUND(E616*J616,2)</f>
        <v>0</v>
      </c>
      <c r="L616" s="169">
        <v>21</v>
      </c>
      <c r="M616" s="169">
        <f>G616*(1+L616/100)</f>
        <v>0</v>
      </c>
      <c r="N616" s="170">
        <v>1E-4</v>
      </c>
      <c r="O616" s="170">
        <f>ROUND(E616*N616,2)</f>
        <v>0.02</v>
      </c>
      <c r="P616" s="170">
        <v>0</v>
      </c>
      <c r="Q616" s="170">
        <f>ROUND(E616*P616,2)</f>
        <v>0</v>
      </c>
      <c r="R616" s="169"/>
      <c r="S616" s="169" t="s">
        <v>143</v>
      </c>
      <c r="T616" s="169" t="s">
        <v>143</v>
      </c>
      <c r="U616" s="169">
        <v>0.12</v>
      </c>
      <c r="V616" s="169">
        <f>ROUND(E616*U616,2)</f>
        <v>24.96</v>
      </c>
      <c r="W616" s="169"/>
      <c r="X616" s="169" t="s">
        <v>144</v>
      </c>
      <c r="Y616" s="169" t="s">
        <v>145</v>
      </c>
      <c r="Z616" s="171"/>
      <c r="AA616" s="171"/>
      <c r="AB616" s="171"/>
      <c r="AC616" s="171"/>
      <c r="AD616" s="171"/>
      <c r="AE616" s="171"/>
      <c r="AF616" s="171"/>
      <c r="AG616" s="171" t="s">
        <v>146</v>
      </c>
      <c r="AH616" s="171"/>
      <c r="AI616" s="171"/>
      <c r="AJ616" s="171"/>
      <c r="AK616" s="171"/>
      <c r="AL616" s="171"/>
      <c r="AM616" s="171"/>
      <c r="AN616" s="171"/>
      <c r="AO616" s="171"/>
      <c r="AP616" s="171"/>
      <c r="AQ616" s="171"/>
      <c r="AR616" s="171"/>
      <c r="AS616" s="171"/>
      <c r="AT616" s="171"/>
      <c r="AU616" s="171"/>
      <c r="AV616" s="171"/>
      <c r="AW616" s="171"/>
      <c r="AX616" s="171"/>
      <c r="AY616" s="171"/>
      <c r="AZ616" s="171"/>
      <c r="BA616" s="171"/>
      <c r="BB616" s="171"/>
      <c r="BC616" s="171"/>
      <c r="BD616" s="171"/>
      <c r="BE616" s="171"/>
      <c r="BF616" s="171"/>
      <c r="BG616" s="171"/>
      <c r="BH616" s="171"/>
    </row>
    <row r="617" spans="1:60" outlineLevel="2" x14ac:dyDescent="0.2">
      <c r="A617" s="172"/>
      <c r="B617" s="173"/>
      <c r="C617" s="174" t="s">
        <v>149</v>
      </c>
      <c r="D617" s="175"/>
      <c r="E617" s="176"/>
      <c r="F617" s="196"/>
      <c r="G617" s="169"/>
      <c r="H617" s="169"/>
      <c r="I617" s="169"/>
      <c r="J617" s="169"/>
      <c r="K617" s="169"/>
      <c r="L617" s="169"/>
      <c r="M617" s="169"/>
      <c r="N617" s="170"/>
      <c r="O617" s="170"/>
      <c r="P617" s="170"/>
      <c r="Q617" s="170"/>
      <c r="R617" s="169"/>
      <c r="S617" s="169"/>
      <c r="T617" s="169"/>
      <c r="U617" s="169"/>
      <c r="V617" s="169"/>
      <c r="W617" s="169"/>
      <c r="X617" s="169"/>
      <c r="Y617" s="169"/>
      <c r="Z617" s="171"/>
      <c r="AA617" s="171"/>
      <c r="AB617" s="171"/>
      <c r="AC617" s="171"/>
      <c r="AD617" s="171"/>
      <c r="AE617" s="171"/>
      <c r="AF617" s="171"/>
      <c r="AG617" s="171" t="s">
        <v>148</v>
      </c>
      <c r="AH617" s="171">
        <v>0</v>
      </c>
      <c r="AI617" s="171"/>
      <c r="AJ617" s="171"/>
      <c r="AK617" s="171"/>
      <c r="AL617" s="171"/>
      <c r="AM617" s="171"/>
      <c r="AN617" s="171"/>
      <c r="AO617" s="171"/>
      <c r="AP617" s="171"/>
      <c r="AQ617" s="171"/>
      <c r="AR617" s="171"/>
      <c r="AS617" s="171"/>
      <c r="AT617" s="171"/>
      <c r="AU617" s="171"/>
      <c r="AV617" s="171"/>
      <c r="AW617" s="171"/>
      <c r="AX617" s="171"/>
      <c r="AY617" s="171"/>
      <c r="AZ617" s="171"/>
      <c r="BA617" s="171"/>
      <c r="BB617" s="171"/>
      <c r="BC617" s="171"/>
      <c r="BD617" s="171"/>
      <c r="BE617" s="171"/>
      <c r="BF617" s="171"/>
      <c r="BG617" s="171"/>
      <c r="BH617" s="171"/>
    </row>
    <row r="618" spans="1:60" outlineLevel="3" x14ac:dyDescent="0.2">
      <c r="A618" s="172"/>
      <c r="B618" s="173"/>
      <c r="C618" s="174" t="s">
        <v>605</v>
      </c>
      <c r="D618" s="175"/>
      <c r="E618" s="176">
        <v>5.9</v>
      </c>
      <c r="F618" s="196"/>
      <c r="G618" s="169"/>
      <c r="H618" s="169"/>
      <c r="I618" s="169"/>
      <c r="J618" s="169"/>
      <c r="K618" s="169"/>
      <c r="L618" s="169"/>
      <c r="M618" s="169"/>
      <c r="N618" s="170"/>
      <c r="O618" s="170"/>
      <c r="P618" s="170"/>
      <c r="Q618" s="170"/>
      <c r="R618" s="169"/>
      <c r="S618" s="169"/>
      <c r="T618" s="169"/>
      <c r="U618" s="169"/>
      <c r="V618" s="169"/>
      <c r="W618" s="169"/>
      <c r="X618" s="169"/>
      <c r="Y618" s="169"/>
      <c r="Z618" s="171"/>
      <c r="AA618" s="171"/>
      <c r="AB618" s="171"/>
      <c r="AC618" s="171"/>
      <c r="AD618" s="171"/>
      <c r="AE618" s="171"/>
      <c r="AF618" s="171"/>
      <c r="AG618" s="171" t="s">
        <v>148</v>
      </c>
      <c r="AH618" s="171">
        <v>0</v>
      </c>
      <c r="AI618" s="171"/>
      <c r="AJ618" s="171"/>
      <c r="AK618" s="171"/>
      <c r="AL618" s="171"/>
      <c r="AM618" s="171"/>
      <c r="AN618" s="171"/>
      <c r="AO618" s="171"/>
      <c r="AP618" s="171"/>
      <c r="AQ618" s="171"/>
      <c r="AR618" s="171"/>
      <c r="AS618" s="171"/>
      <c r="AT618" s="171"/>
      <c r="AU618" s="171"/>
      <c r="AV618" s="171"/>
      <c r="AW618" s="171"/>
      <c r="AX618" s="171"/>
      <c r="AY618" s="171"/>
      <c r="AZ618" s="171"/>
      <c r="BA618" s="171"/>
      <c r="BB618" s="171"/>
      <c r="BC618" s="171"/>
      <c r="BD618" s="171"/>
      <c r="BE618" s="171"/>
      <c r="BF618" s="171"/>
      <c r="BG618" s="171"/>
      <c r="BH618" s="171"/>
    </row>
    <row r="619" spans="1:60" outlineLevel="3" x14ac:dyDescent="0.2">
      <c r="A619" s="172"/>
      <c r="B619" s="173"/>
      <c r="C619" s="174" t="s">
        <v>606</v>
      </c>
      <c r="D619" s="175"/>
      <c r="E619" s="176">
        <v>8.42</v>
      </c>
      <c r="F619" s="196"/>
      <c r="G619" s="169"/>
      <c r="H619" s="169"/>
      <c r="I619" s="169"/>
      <c r="J619" s="169"/>
      <c r="K619" s="169"/>
      <c r="L619" s="169"/>
      <c r="M619" s="169"/>
      <c r="N619" s="170"/>
      <c r="O619" s="170"/>
      <c r="P619" s="170"/>
      <c r="Q619" s="170"/>
      <c r="R619" s="169"/>
      <c r="S619" s="169"/>
      <c r="T619" s="169"/>
      <c r="U619" s="169"/>
      <c r="V619" s="169"/>
      <c r="W619" s="169"/>
      <c r="X619" s="169"/>
      <c r="Y619" s="169"/>
      <c r="Z619" s="171"/>
      <c r="AA619" s="171"/>
      <c r="AB619" s="171"/>
      <c r="AC619" s="171"/>
      <c r="AD619" s="171"/>
      <c r="AE619" s="171"/>
      <c r="AF619" s="171"/>
      <c r="AG619" s="171" t="s">
        <v>148</v>
      </c>
      <c r="AH619" s="171">
        <v>0</v>
      </c>
      <c r="AI619" s="171"/>
      <c r="AJ619" s="171"/>
      <c r="AK619" s="171"/>
      <c r="AL619" s="171"/>
      <c r="AM619" s="171"/>
      <c r="AN619" s="171"/>
      <c r="AO619" s="171"/>
      <c r="AP619" s="171"/>
      <c r="AQ619" s="171"/>
      <c r="AR619" s="171"/>
      <c r="AS619" s="171"/>
      <c r="AT619" s="171"/>
      <c r="AU619" s="171"/>
      <c r="AV619" s="171"/>
      <c r="AW619" s="171"/>
      <c r="AX619" s="171"/>
      <c r="AY619" s="171"/>
      <c r="AZ619" s="171"/>
      <c r="BA619" s="171"/>
      <c r="BB619" s="171"/>
      <c r="BC619" s="171"/>
      <c r="BD619" s="171"/>
      <c r="BE619" s="171"/>
      <c r="BF619" s="171"/>
      <c r="BG619" s="171"/>
      <c r="BH619" s="171"/>
    </row>
    <row r="620" spans="1:60" outlineLevel="3" x14ac:dyDescent="0.2">
      <c r="A620" s="172"/>
      <c r="B620" s="173"/>
      <c r="C620" s="174" t="s">
        <v>607</v>
      </c>
      <c r="D620" s="175"/>
      <c r="E620" s="176">
        <v>6.1</v>
      </c>
      <c r="F620" s="196"/>
      <c r="G620" s="169"/>
      <c r="H620" s="169"/>
      <c r="I620" s="169"/>
      <c r="J620" s="169"/>
      <c r="K620" s="169"/>
      <c r="L620" s="169"/>
      <c r="M620" s="169"/>
      <c r="N620" s="170"/>
      <c r="O620" s="170"/>
      <c r="P620" s="170"/>
      <c r="Q620" s="170"/>
      <c r="R620" s="169"/>
      <c r="S620" s="169"/>
      <c r="T620" s="169"/>
      <c r="U620" s="169"/>
      <c r="V620" s="169"/>
      <c r="W620" s="169"/>
      <c r="X620" s="169"/>
      <c r="Y620" s="169"/>
      <c r="Z620" s="171"/>
      <c r="AA620" s="171"/>
      <c r="AB620" s="171"/>
      <c r="AC620" s="171"/>
      <c r="AD620" s="171"/>
      <c r="AE620" s="171"/>
      <c r="AF620" s="171"/>
      <c r="AG620" s="171" t="s">
        <v>148</v>
      </c>
      <c r="AH620" s="171">
        <v>0</v>
      </c>
      <c r="AI620" s="171"/>
      <c r="AJ620" s="171"/>
      <c r="AK620" s="171"/>
      <c r="AL620" s="171"/>
      <c r="AM620" s="171"/>
      <c r="AN620" s="171"/>
      <c r="AO620" s="171"/>
      <c r="AP620" s="171"/>
      <c r="AQ620" s="171"/>
      <c r="AR620" s="171"/>
      <c r="AS620" s="171"/>
      <c r="AT620" s="171"/>
      <c r="AU620" s="171"/>
      <c r="AV620" s="171"/>
      <c r="AW620" s="171"/>
      <c r="AX620" s="171"/>
      <c r="AY620" s="171"/>
      <c r="AZ620" s="171"/>
      <c r="BA620" s="171"/>
      <c r="BB620" s="171"/>
      <c r="BC620" s="171"/>
      <c r="BD620" s="171"/>
      <c r="BE620" s="171"/>
      <c r="BF620" s="171"/>
      <c r="BG620" s="171"/>
      <c r="BH620" s="171"/>
    </row>
    <row r="621" spans="1:60" outlineLevel="3" x14ac:dyDescent="0.2">
      <c r="A621" s="172"/>
      <c r="B621" s="173"/>
      <c r="C621" s="174" t="s">
        <v>608</v>
      </c>
      <c r="D621" s="175"/>
      <c r="E621" s="176">
        <v>8.14</v>
      </c>
      <c r="F621" s="196"/>
      <c r="G621" s="169"/>
      <c r="H621" s="169"/>
      <c r="I621" s="169"/>
      <c r="J621" s="169"/>
      <c r="K621" s="169"/>
      <c r="L621" s="169"/>
      <c r="M621" s="169"/>
      <c r="N621" s="170"/>
      <c r="O621" s="170"/>
      <c r="P621" s="170"/>
      <c r="Q621" s="170"/>
      <c r="R621" s="169"/>
      <c r="S621" s="169"/>
      <c r="T621" s="169"/>
      <c r="U621" s="169"/>
      <c r="V621" s="169"/>
      <c r="W621" s="169"/>
      <c r="X621" s="169"/>
      <c r="Y621" s="169"/>
      <c r="Z621" s="171"/>
      <c r="AA621" s="171"/>
      <c r="AB621" s="171"/>
      <c r="AC621" s="171"/>
      <c r="AD621" s="171"/>
      <c r="AE621" s="171"/>
      <c r="AF621" s="171"/>
      <c r="AG621" s="171" t="s">
        <v>148</v>
      </c>
      <c r="AH621" s="171">
        <v>0</v>
      </c>
      <c r="AI621" s="171"/>
      <c r="AJ621" s="171"/>
      <c r="AK621" s="171"/>
      <c r="AL621" s="171"/>
      <c r="AM621" s="171"/>
      <c r="AN621" s="171"/>
      <c r="AO621" s="171"/>
      <c r="AP621" s="171"/>
      <c r="AQ621" s="171"/>
      <c r="AR621" s="171"/>
      <c r="AS621" s="171"/>
      <c r="AT621" s="171"/>
      <c r="AU621" s="171"/>
      <c r="AV621" s="171"/>
      <c r="AW621" s="171"/>
      <c r="AX621" s="171"/>
      <c r="AY621" s="171"/>
      <c r="AZ621" s="171"/>
      <c r="BA621" s="171"/>
      <c r="BB621" s="171"/>
      <c r="BC621" s="171"/>
      <c r="BD621" s="171"/>
      <c r="BE621" s="171"/>
      <c r="BF621" s="171"/>
      <c r="BG621" s="171"/>
      <c r="BH621" s="171"/>
    </row>
    <row r="622" spans="1:60" outlineLevel="3" x14ac:dyDescent="0.2">
      <c r="A622" s="172"/>
      <c r="B622" s="173"/>
      <c r="C622" s="174" t="s">
        <v>609</v>
      </c>
      <c r="D622" s="175"/>
      <c r="E622" s="176">
        <v>8.26</v>
      </c>
      <c r="F622" s="196"/>
      <c r="G622" s="169"/>
      <c r="H622" s="169"/>
      <c r="I622" s="169"/>
      <c r="J622" s="169"/>
      <c r="K622" s="169"/>
      <c r="L622" s="169"/>
      <c r="M622" s="169"/>
      <c r="N622" s="170"/>
      <c r="O622" s="170"/>
      <c r="P622" s="170"/>
      <c r="Q622" s="170"/>
      <c r="R622" s="169"/>
      <c r="S622" s="169"/>
      <c r="T622" s="169"/>
      <c r="U622" s="169"/>
      <c r="V622" s="169"/>
      <c r="W622" s="169"/>
      <c r="X622" s="169"/>
      <c r="Y622" s="169"/>
      <c r="Z622" s="171"/>
      <c r="AA622" s="171"/>
      <c r="AB622" s="171"/>
      <c r="AC622" s="171"/>
      <c r="AD622" s="171"/>
      <c r="AE622" s="171"/>
      <c r="AF622" s="171"/>
      <c r="AG622" s="171" t="s">
        <v>148</v>
      </c>
      <c r="AH622" s="171">
        <v>0</v>
      </c>
      <c r="AI622" s="171"/>
      <c r="AJ622" s="171"/>
      <c r="AK622" s="171"/>
      <c r="AL622" s="171"/>
      <c r="AM622" s="171"/>
      <c r="AN622" s="171"/>
      <c r="AO622" s="171"/>
      <c r="AP622" s="171"/>
      <c r="AQ622" s="171"/>
      <c r="AR622" s="171"/>
      <c r="AS622" s="171"/>
      <c r="AT622" s="171"/>
      <c r="AU622" s="171"/>
      <c r="AV622" s="171"/>
      <c r="AW622" s="171"/>
      <c r="AX622" s="171"/>
      <c r="AY622" s="171"/>
      <c r="AZ622" s="171"/>
      <c r="BA622" s="171"/>
      <c r="BB622" s="171"/>
      <c r="BC622" s="171"/>
      <c r="BD622" s="171"/>
      <c r="BE622" s="171"/>
      <c r="BF622" s="171"/>
      <c r="BG622" s="171"/>
      <c r="BH622" s="171"/>
    </row>
    <row r="623" spans="1:60" outlineLevel="3" x14ac:dyDescent="0.2">
      <c r="A623" s="172"/>
      <c r="B623" s="173"/>
      <c r="C623" s="174" t="s">
        <v>610</v>
      </c>
      <c r="D623" s="175"/>
      <c r="E623" s="176">
        <v>8.18</v>
      </c>
      <c r="F623" s="196"/>
      <c r="G623" s="169"/>
      <c r="H623" s="169"/>
      <c r="I623" s="169"/>
      <c r="J623" s="169"/>
      <c r="K623" s="169"/>
      <c r="L623" s="169"/>
      <c r="M623" s="169"/>
      <c r="N623" s="170"/>
      <c r="O623" s="170"/>
      <c r="P623" s="170"/>
      <c r="Q623" s="170"/>
      <c r="R623" s="169"/>
      <c r="S623" s="169"/>
      <c r="T623" s="169"/>
      <c r="U623" s="169"/>
      <c r="V623" s="169"/>
      <c r="W623" s="169"/>
      <c r="X623" s="169"/>
      <c r="Y623" s="169"/>
      <c r="Z623" s="171"/>
      <c r="AA623" s="171"/>
      <c r="AB623" s="171"/>
      <c r="AC623" s="171"/>
      <c r="AD623" s="171"/>
      <c r="AE623" s="171"/>
      <c r="AF623" s="171"/>
      <c r="AG623" s="171" t="s">
        <v>148</v>
      </c>
      <c r="AH623" s="171">
        <v>0</v>
      </c>
      <c r="AI623" s="171"/>
      <c r="AJ623" s="171"/>
      <c r="AK623" s="171"/>
      <c r="AL623" s="171"/>
      <c r="AM623" s="171"/>
      <c r="AN623" s="171"/>
      <c r="AO623" s="171"/>
      <c r="AP623" s="171"/>
      <c r="AQ623" s="171"/>
      <c r="AR623" s="171"/>
      <c r="AS623" s="171"/>
      <c r="AT623" s="171"/>
      <c r="AU623" s="171"/>
      <c r="AV623" s="171"/>
      <c r="AW623" s="171"/>
      <c r="AX623" s="171"/>
      <c r="AY623" s="171"/>
      <c r="AZ623" s="171"/>
      <c r="BA623" s="171"/>
      <c r="BB623" s="171"/>
      <c r="BC623" s="171"/>
      <c r="BD623" s="171"/>
      <c r="BE623" s="171"/>
      <c r="BF623" s="171"/>
      <c r="BG623" s="171"/>
      <c r="BH623" s="171"/>
    </row>
    <row r="624" spans="1:60" outlineLevel="3" x14ac:dyDescent="0.2">
      <c r="A624" s="172"/>
      <c r="B624" s="173"/>
      <c r="C624" s="174" t="s">
        <v>611</v>
      </c>
      <c r="D624" s="175"/>
      <c r="E624" s="176">
        <v>5.42</v>
      </c>
      <c r="F624" s="196"/>
      <c r="G624" s="169"/>
      <c r="H624" s="169"/>
      <c r="I624" s="169"/>
      <c r="J624" s="169"/>
      <c r="K624" s="169"/>
      <c r="L624" s="169"/>
      <c r="M624" s="169"/>
      <c r="N624" s="170"/>
      <c r="O624" s="170"/>
      <c r="P624" s="170"/>
      <c r="Q624" s="170"/>
      <c r="R624" s="169"/>
      <c r="S624" s="169"/>
      <c r="T624" s="169"/>
      <c r="U624" s="169"/>
      <c r="V624" s="169"/>
      <c r="W624" s="169"/>
      <c r="X624" s="169"/>
      <c r="Y624" s="169"/>
      <c r="Z624" s="171"/>
      <c r="AA624" s="171"/>
      <c r="AB624" s="171"/>
      <c r="AC624" s="171"/>
      <c r="AD624" s="171"/>
      <c r="AE624" s="171"/>
      <c r="AF624" s="171"/>
      <c r="AG624" s="171" t="s">
        <v>148</v>
      </c>
      <c r="AH624" s="171">
        <v>0</v>
      </c>
      <c r="AI624" s="171"/>
      <c r="AJ624" s="171"/>
      <c r="AK624" s="171"/>
      <c r="AL624" s="171"/>
      <c r="AM624" s="171"/>
      <c r="AN624" s="171"/>
      <c r="AO624" s="171"/>
      <c r="AP624" s="171"/>
      <c r="AQ624" s="171"/>
      <c r="AR624" s="171"/>
      <c r="AS624" s="171"/>
      <c r="AT624" s="171"/>
      <c r="AU624" s="171"/>
      <c r="AV624" s="171"/>
      <c r="AW624" s="171"/>
      <c r="AX624" s="171"/>
      <c r="AY624" s="171"/>
      <c r="AZ624" s="171"/>
      <c r="BA624" s="171"/>
      <c r="BB624" s="171"/>
      <c r="BC624" s="171"/>
      <c r="BD624" s="171"/>
      <c r="BE624" s="171"/>
      <c r="BF624" s="171"/>
      <c r="BG624" s="171"/>
      <c r="BH624" s="171"/>
    </row>
    <row r="625" spans="1:60" outlineLevel="3" x14ac:dyDescent="0.2">
      <c r="A625" s="172"/>
      <c r="B625" s="173"/>
      <c r="C625" s="174" t="s">
        <v>612</v>
      </c>
      <c r="D625" s="175"/>
      <c r="E625" s="176">
        <v>4.4800000000000004</v>
      </c>
      <c r="F625" s="196"/>
      <c r="G625" s="169"/>
      <c r="H625" s="169"/>
      <c r="I625" s="169"/>
      <c r="J625" s="169"/>
      <c r="K625" s="169"/>
      <c r="L625" s="169"/>
      <c r="M625" s="169"/>
      <c r="N625" s="170"/>
      <c r="O625" s="170"/>
      <c r="P625" s="170"/>
      <c r="Q625" s="170"/>
      <c r="R625" s="169"/>
      <c r="S625" s="169"/>
      <c r="T625" s="169"/>
      <c r="U625" s="169"/>
      <c r="V625" s="169"/>
      <c r="W625" s="169"/>
      <c r="X625" s="169"/>
      <c r="Y625" s="169"/>
      <c r="Z625" s="171"/>
      <c r="AA625" s="171"/>
      <c r="AB625" s="171"/>
      <c r="AC625" s="171"/>
      <c r="AD625" s="171"/>
      <c r="AE625" s="171"/>
      <c r="AF625" s="171"/>
      <c r="AG625" s="171" t="s">
        <v>148</v>
      </c>
      <c r="AH625" s="171">
        <v>0</v>
      </c>
      <c r="AI625" s="171"/>
      <c r="AJ625" s="171"/>
      <c r="AK625" s="171"/>
      <c r="AL625" s="171"/>
      <c r="AM625" s="171"/>
      <c r="AN625" s="171"/>
      <c r="AO625" s="171"/>
      <c r="AP625" s="171"/>
      <c r="AQ625" s="171"/>
      <c r="AR625" s="171"/>
      <c r="AS625" s="171"/>
      <c r="AT625" s="171"/>
      <c r="AU625" s="171"/>
      <c r="AV625" s="171"/>
      <c r="AW625" s="171"/>
      <c r="AX625" s="171"/>
      <c r="AY625" s="171"/>
      <c r="AZ625" s="171"/>
      <c r="BA625" s="171"/>
      <c r="BB625" s="171"/>
      <c r="BC625" s="171"/>
      <c r="BD625" s="171"/>
      <c r="BE625" s="171"/>
      <c r="BF625" s="171"/>
      <c r="BG625" s="171"/>
      <c r="BH625" s="171"/>
    </row>
    <row r="626" spans="1:60" outlineLevel="3" x14ac:dyDescent="0.2">
      <c r="A626" s="172"/>
      <c r="B626" s="173"/>
      <c r="C626" s="174" t="s">
        <v>613</v>
      </c>
      <c r="D626" s="175"/>
      <c r="E626" s="176">
        <v>14.4</v>
      </c>
      <c r="F626" s="196"/>
      <c r="G626" s="169"/>
      <c r="H626" s="169"/>
      <c r="I626" s="169"/>
      <c r="J626" s="169"/>
      <c r="K626" s="169"/>
      <c r="L626" s="169"/>
      <c r="M626" s="169"/>
      <c r="N626" s="170"/>
      <c r="O626" s="170"/>
      <c r="P626" s="170"/>
      <c r="Q626" s="170"/>
      <c r="R626" s="169"/>
      <c r="S626" s="169"/>
      <c r="T626" s="169"/>
      <c r="U626" s="169"/>
      <c r="V626" s="169"/>
      <c r="W626" s="169"/>
      <c r="X626" s="169"/>
      <c r="Y626" s="169"/>
      <c r="Z626" s="171"/>
      <c r="AA626" s="171"/>
      <c r="AB626" s="171"/>
      <c r="AC626" s="171"/>
      <c r="AD626" s="171"/>
      <c r="AE626" s="171"/>
      <c r="AF626" s="171"/>
      <c r="AG626" s="171" t="s">
        <v>148</v>
      </c>
      <c r="AH626" s="171">
        <v>0</v>
      </c>
      <c r="AI626" s="171"/>
      <c r="AJ626" s="171"/>
      <c r="AK626" s="171"/>
      <c r="AL626" s="171"/>
      <c r="AM626" s="171"/>
      <c r="AN626" s="171"/>
      <c r="AO626" s="171"/>
      <c r="AP626" s="171"/>
      <c r="AQ626" s="171"/>
      <c r="AR626" s="171"/>
      <c r="AS626" s="171"/>
      <c r="AT626" s="171"/>
      <c r="AU626" s="171"/>
      <c r="AV626" s="171"/>
      <c r="AW626" s="171"/>
      <c r="AX626" s="171"/>
      <c r="AY626" s="171"/>
      <c r="AZ626" s="171"/>
      <c r="BA626" s="171"/>
      <c r="BB626" s="171"/>
      <c r="BC626" s="171"/>
      <c r="BD626" s="171"/>
      <c r="BE626" s="171"/>
      <c r="BF626" s="171"/>
      <c r="BG626" s="171"/>
      <c r="BH626" s="171"/>
    </row>
    <row r="627" spans="1:60" outlineLevel="3" x14ac:dyDescent="0.2">
      <c r="A627" s="172"/>
      <c r="B627" s="173"/>
      <c r="C627" s="174" t="s">
        <v>151</v>
      </c>
      <c r="D627" s="175"/>
      <c r="E627" s="176"/>
      <c r="F627" s="196"/>
      <c r="G627" s="169"/>
      <c r="H627" s="169"/>
      <c r="I627" s="169"/>
      <c r="J627" s="169"/>
      <c r="K627" s="169"/>
      <c r="L627" s="169"/>
      <c r="M627" s="169"/>
      <c r="N627" s="170"/>
      <c r="O627" s="170"/>
      <c r="P627" s="170"/>
      <c r="Q627" s="170"/>
      <c r="R627" s="169"/>
      <c r="S627" s="169"/>
      <c r="T627" s="169"/>
      <c r="U627" s="169"/>
      <c r="V627" s="169"/>
      <c r="W627" s="169"/>
      <c r="X627" s="169"/>
      <c r="Y627" s="169"/>
      <c r="Z627" s="171"/>
      <c r="AA627" s="171"/>
      <c r="AB627" s="171"/>
      <c r="AC627" s="171"/>
      <c r="AD627" s="171"/>
      <c r="AE627" s="171"/>
      <c r="AF627" s="171"/>
      <c r="AG627" s="171" t="s">
        <v>148</v>
      </c>
      <c r="AH627" s="171">
        <v>0</v>
      </c>
      <c r="AI627" s="171"/>
      <c r="AJ627" s="171"/>
      <c r="AK627" s="171"/>
      <c r="AL627" s="171"/>
      <c r="AM627" s="171"/>
      <c r="AN627" s="171"/>
      <c r="AO627" s="171"/>
      <c r="AP627" s="171"/>
      <c r="AQ627" s="171"/>
      <c r="AR627" s="171"/>
      <c r="AS627" s="171"/>
      <c r="AT627" s="171"/>
      <c r="AU627" s="171"/>
      <c r="AV627" s="171"/>
      <c r="AW627" s="171"/>
      <c r="AX627" s="171"/>
      <c r="AY627" s="171"/>
      <c r="AZ627" s="171"/>
      <c r="BA627" s="171"/>
      <c r="BB627" s="171"/>
      <c r="BC627" s="171"/>
      <c r="BD627" s="171"/>
      <c r="BE627" s="171"/>
      <c r="BF627" s="171"/>
      <c r="BG627" s="171"/>
      <c r="BH627" s="171"/>
    </row>
    <row r="628" spans="1:60" outlineLevel="3" x14ac:dyDescent="0.2">
      <c r="A628" s="172"/>
      <c r="B628" s="173"/>
      <c r="C628" s="174" t="s">
        <v>614</v>
      </c>
      <c r="D628" s="175"/>
      <c r="E628" s="176">
        <v>5.9</v>
      </c>
      <c r="F628" s="196"/>
      <c r="G628" s="169"/>
      <c r="H628" s="169"/>
      <c r="I628" s="169"/>
      <c r="J628" s="169"/>
      <c r="K628" s="169"/>
      <c r="L628" s="169"/>
      <c r="M628" s="169"/>
      <c r="N628" s="170"/>
      <c r="O628" s="170"/>
      <c r="P628" s="170"/>
      <c r="Q628" s="170"/>
      <c r="R628" s="169"/>
      <c r="S628" s="169"/>
      <c r="T628" s="169"/>
      <c r="U628" s="169"/>
      <c r="V628" s="169"/>
      <c r="W628" s="169"/>
      <c r="X628" s="169"/>
      <c r="Y628" s="169"/>
      <c r="Z628" s="171"/>
      <c r="AA628" s="171"/>
      <c r="AB628" s="171"/>
      <c r="AC628" s="171"/>
      <c r="AD628" s="171"/>
      <c r="AE628" s="171"/>
      <c r="AF628" s="171"/>
      <c r="AG628" s="171" t="s">
        <v>148</v>
      </c>
      <c r="AH628" s="171">
        <v>0</v>
      </c>
      <c r="AI628" s="171"/>
      <c r="AJ628" s="171"/>
      <c r="AK628" s="171"/>
      <c r="AL628" s="171"/>
      <c r="AM628" s="171"/>
      <c r="AN628" s="171"/>
      <c r="AO628" s="171"/>
      <c r="AP628" s="171"/>
      <c r="AQ628" s="171"/>
      <c r="AR628" s="171"/>
      <c r="AS628" s="171"/>
      <c r="AT628" s="171"/>
      <c r="AU628" s="171"/>
      <c r="AV628" s="171"/>
      <c r="AW628" s="171"/>
      <c r="AX628" s="171"/>
      <c r="AY628" s="171"/>
      <c r="AZ628" s="171"/>
      <c r="BA628" s="171"/>
      <c r="BB628" s="171"/>
      <c r="BC628" s="171"/>
      <c r="BD628" s="171"/>
      <c r="BE628" s="171"/>
      <c r="BF628" s="171"/>
      <c r="BG628" s="171"/>
      <c r="BH628" s="171"/>
    </row>
    <row r="629" spans="1:60" outlineLevel="3" x14ac:dyDescent="0.2">
      <c r="A629" s="172"/>
      <c r="B629" s="173"/>
      <c r="C629" s="174" t="s">
        <v>615</v>
      </c>
      <c r="D629" s="175"/>
      <c r="E629" s="176">
        <v>8.1</v>
      </c>
      <c r="F629" s="196"/>
      <c r="G629" s="169"/>
      <c r="H629" s="169"/>
      <c r="I629" s="169"/>
      <c r="J629" s="169"/>
      <c r="K629" s="169"/>
      <c r="L629" s="169"/>
      <c r="M629" s="169"/>
      <c r="N629" s="170"/>
      <c r="O629" s="170"/>
      <c r="P629" s="170"/>
      <c r="Q629" s="170"/>
      <c r="R629" s="169"/>
      <c r="S629" s="169"/>
      <c r="T629" s="169"/>
      <c r="U629" s="169"/>
      <c r="V629" s="169"/>
      <c r="W629" s="169"/>
      <c r="X629" s="169"/>
      <c r="Y629" s="169"/>
      <c r="Z629" s="171"/>
      <c r="AA629" s="171"/>
      <c r="AB629" s="171"/>
      <c r="AC629" s="171"/>
      <c r="AD629" s="171"/>
      <c r="AE629" s="171"/>
      <c r="AF629" s="171"/>
      <c r="AG629" s="171" t="s">
        <v>148</v>
      </c>
      <c r="AH629" s="171">
        <v>0</v>
      </c>
      <c r="AI629" s="171"/>
      <c r="AJ629" s="171"/>
      <c r="AK629" s="171"/>
      <c r="AL629" s="171"/>
      <c r="AM629" s="171"/>
      <c r="AN629" s="171"/>
      <c r="AO629" s="171"/>
      <c r="AP629" s="171"/>
      <c r="AQ629" s="171"/>
      <c r="AR629" s="171"/>
      <c r="AS629" s="171"/>
      <c r="AT629" s="171"/>
      <c r="AU629" s="171"/>
      <c r="AV629" s="171"/>
      <c r="AW629" s="171"/>
      <c r="AX629" s="171"/>
      <c r="AY629" s="171"/>
      <c r="AZ629" s="171"/>
      <c r="BA629" s="171"/>
      <c r="BB629" s="171"/>
      <c r="BC629" s="171"/>
      <c r="BD629" s="171"/>
      <c r="BE629" s="171"/>
      <c r="BF629" s="171"/>
      <c r="BG629" s="171"/>
      <c r="BH629" s="171"/>
    </row>
    <row r="630" spans="1:60" outlineLevel="3" x14ac:dyDescent="0.2">
      <c r="A630" s="172"/>
      <c r="B630" s="173"/>
      <c r="C630" s="174" t="s">
        <v>616</v>
      </c>
      <c r="D630" s="175"/>
      <c r="E630" s="176">
        <v>6.04</v>
      </c>
      <c r="F630" s="196"/>
      <c r="G630" s="169"/>
      <c r="H630" s="169"/>
      <c r="I630" s="169"/>
      <c r="J630" s="169"/>
      <c r="K630" s="169"/>
      <c r="L630" s="169"/>
      <c r="M630" s="169"/>
      <c r="N630" s="170"/>
      <c r="O630" s="170"/>
      <c r="P630" s="170"/>
      <c r="Q630" s="170"/>
      <c r="R630" s="169"/>
      <c r="S630" s="169"/>
      <c r="T630" s="169"/>
      <c r="U630" s="169"/>
      <c r="V630" s="169"/>
      <c r="W630" s="169"/>
      <c r="X630" s="169"/>
      <c r="Y630" s="169"/>
      <c r="Z630" s="171"/>
      <c r="AA630" s="171"/>
      <c r="AB630" s="171"/>
      <c r="AC630" s="171"/>
      <c r="AD630" s="171"/>
      <c r="AE630" s="171"/>
      <c r="AF630" s="171"/>
      <c r="AG630" s="171" t="s">
        <v>148</v>
      </c>
      <c r="AH630" s="171">
        <v>0</v>
      </c>
      <c r="AI630" s="171"/>
      <c r="AJ630" s="171"/>
      <c r="AK630" s="171"/>
      <c r="AL630" s="171"/>
      <c r="AM630" s="171"/>
      <c r="AN630" s="171"/>
      <c r="AO630" s="171"/>
      <c r="AP630" s="171"/>
      <c r="AQ630" s="171"/>
      <c r="AR630" s="171"/>
      <c r="AS630" s="171"/>
      <c r="AT630" s="171"/>
      <c r="AU630" s="171"/>
      <c r="AV630" s="171"/>
      <c r="AW630" s="171"/>
      <c r="AX630" s="171"/>
      <c r="AY630" s="171"/>
      <c r="AZ630" s="171"/>
      <c r="BA630" s="171"/>
      <c r="BB630" s="171"/>
      <c r="BC630" s="171"/>
      <c r="BD630" s="171"/>
      <c r="BE630" s="171"/>
      <c r="BF630" s="171"/>
      <c r="BG630" s="171"/>
      <c r="BH630" s="171"/>
    </row>
    <row r="631" spans="1:60" outlineLevel="3" x14ac:dyDescent="0.2">
      <c r="A631" s="172"/>
      <c r="B631" s="173"/>
      <c r="C631" s="174" t="s">
        <v>617</v>
      </c>
      <c r="D631" s="175"/>
      <c r="E631" s="176">
        <v>8.16</v>
      </c>
      <c r="F631" s="196"/>
      <c r="G631" s="169"/>
      <c r="H631" s="169"/>
      <c r="I631" s="169"/>
      <c r="J631" s="169"/>
      <c r="K631" s="169"/>
      <c r="L631" s="169"/>
      <c r="M631" s="169"/>
      <c r="N631" s="170"/>
      <c r="O631" s="170"/>
      <c r="P631" s="170"/>
      <c r="Q631" s="170"/>
      <c r="R631" s="169"/>
      <c r="S631" s="169"/>
      <c r="T631" s="169"/>
      <c r="U631" s="169"/>
      <c r="V631" s="169"/>
      <c r="W631" s="169"/>
      <c r="X631" s="169"/>
      <c r="Y631" s="169"/>
      <c r="Z631" s="171"/>
      <c r="AA631" s="171"/>
      <c r="AB631" s="171"/>
      <c r="AC631" s="171"/>
      <c r="AD631" s="171"/>
      <c r="AE631" s="171"/>
      <c r="AF631" s="171"/>
      <c r="AG631" s="171" t="s">
        <v>148</v>
      </c>
      <c r="AH631" s="171">
        <v>0</v>
      </c>
      <c r="AI631" s="171"/>
      <c r="AJ631" s="171"/>
      <c r="AK631" s="171"/>
      <c r="AL631" s="171"/>
      <c r="AM631" s="171"/>
      <c r="AN631" s="171"/>
      <c r="AO631" s="171"/>
      <c r="AP631" s="171"/>
      <c r="AQ631" s="171"/>
      <c r="AR631" s="171"/>
      <c r="AS631" s="171"/>
      <c r="AT631" s="171"/>
      <c r="AU631" s="171"/>
      <c r="AV631" s="171"/>
      <c r="AW631" s="171"/>
      <c r="AX631" s="171"/>
      <c r="AY631" s="171"/>
      <c r="AZ631" s="171"/>
      <c r="BA631" s="171"/>
      <c r="BB631" s="171"/>
      <c r="BC631" s="171"/>
      <c r="BD631" s="171"/>
      <c r="BE631" s="171"/>
      <c r="BF631" s="171"/>
      <c r="BG631" s="171"/>
      <c r="BH631" s="171"/>
    </row>
    <row r="632" spans="1:60" outlineLevel="3" x14ac:dyDescent="0.2">
      <c r="A632" s="172"/>
      <c r="B632" s="173"/>
      <c r="C632" s="174" t="s">
        <v>618</v>
      </c>
      <c r="D632" s="175"/>
      <c r="E632" s="176">
        <v>8.0399999999999991</v>
      </c>
      <c r="F632" s="196"/>
      <c r="G632" s="169"/>
      <c r="H632" s="169"/>
      <c r="I632" s="169"/>
      <c r="J632" s="169"/>
      <c r="K632" s="169"/>
      <c r="L632" s="169"/>
      <c r="M632" s="169"/>
      <c r="N632" s="170"/>
      <c r="O632" s="170"/>
      <c r="P632" s="170"/>
      <c r="Q632" s="170"/>
      <c r="R632" s="169"/>
      <c r="S632" s="169"/>
      <c r="T632" s="169"/>
      <c r="U632" s="169"/>
      <c r="V632" s="169"/>
      <c r="W632" s="169"/>
      <c r="X632" s="169"/>
      <c r="Y632" s="169"/>
      <c r="Z632" s="171"/>
      <c r="AA632" s="171"/>
      <c r="AB632" s="171"/>
      <c r="AC632" s="171"/>
      <c r="AD632" s="171"/>
      <c r="AE632" s="171"/>
      <c r="AF632" s="171"/>
      <c r="AG632" s="171" t="s">
        <v>148</v>
      </c>
      <c r="AH632" s="171">
        <v>0</v>
      </c>
      <c r="AI632" s="171"/>
      <c r="AJ632" s="171"/>
      <c r="AK632" s="171"/>
      <c r="AL632" s="171"/>
      <c r="AM632" s="171"/>
      <c r="AN632" s="171"/>
      <c r="AO632" s="171"/>
      <c r="AP632" s="171"/>
      <c r="AQ632" s="171"/>
      <c r="AR632" s="171"/>
      <c r="AS632" s="171"/>
      <c r="AT632" s="171"/>
      <c r="AU632" s="171"/>
      <c r="AV632" s="171"/>
      <c r="AW632" s="171"/>
      <c r="AX632" s="171"/>
      <c r="AY632" s="171"/>
      <c r="AZ632" s="171"/>
      <c r="BA632" s="171"/>
      <c r="BB632" s="171"/>
      <c r="BC632" s="171"/>
      <c r="BD632" s="171"/>
      <c r="BE632" s="171"/>
      <c r="BF632" s="171"/>
      <c r="BG632" s="171"/>
      <c r="BH632" s="171"/>
    </row>
    <row r="633" spans="1:60" outlineLevel="3" x14ac:dyDescent="0.2">
      <c r="A633" s="172"/>
      <c r="B633" s="173"/>
      <c r="C633" s="174" t="s">
        <v>619</v>
      </c>
      <c r="D633" s="175"/>
      <c r="E633" s="176">
        <v>5.16</v>
      </c>
      <c r="F633" s="196"/>
      <c r="G633" s="169"/>
      <c r="H633" s="169"/>
      <c r="I633" s="169"/>
      <c r="J633" s="169"/>
      <c r="K633" s="169"/>
      <c r="L633" s="169"/>
      <c r="M633" s="169"/>
      <c r="N633" s="170"/>
      <c r="O633" s="170"/>
      <c r="P633" s="170"/>
      <c r="Q633" s="170"/>
      <c r="R633" s="169"/>
      <c r="S633" s="169"/>
      <c r="T633" s="169"/>
      <c r="U633" s="169"/>
      <c r="V633" s="169"/>
      <c r="W633" s="169"/>
      <c r="X633" s="169"/>
      <c r="Y633" s="169"/>
      <c r="Z633" s="171"/>
      <c r="AA633" s="171"/>
      <c r="AB633" s="171"/>
      <c r="AC633" s="171"/>
      <c r="AD633" s="171"/>
      <c r="AE633" s="171"/>
      <c r="AF633" s="171"/>
      <c r="AG633" s="171" t="s">
        <v>148</v>
      </c>
      <c r="AH633" s="171">
        <v>0</v>
      </c>
      <c r="AI633" s="171"/>
      <c r="AJ633" s="171"/>
      <c r="AK633" s="171"/>
      <c r="AL633" s="171"/>
      <c r="AM633" s="171"/>
      <c r="AN633" s="171"/>
      <c r="AO633" s="171"/>
      <c r="AP633" s="171"/>
      <c r="AQ633" s="171"/>
      <c r="AR633" s="171"/>
      <c r="AS633" s="171"/>
      <c r="AT633" s="171"/>
      <c r="AU633" s="171"/>
      <c r="AV633" s="171"/>
      <c r="AW633" s="171"/>
      <c r="AX633" s="171"/>
      <c r="AY633" s="171"/>
      <c r="AZ633" s="171"/>
      <c r="BA633" s="171"/>
      <c r="BB633" s="171"/>
      <c r="BC633" s="171"/>
      <c r="BD633" s="171"/>
      <c r="BE633" s="171"/>
      <c r="BF633" s="171"/>
      <c r="BG633" s="171"/>
      <c r="BH633" s="171"/>
    </row>
    <row r="634" spans="1:60" outlineLevel="3" x14ac:dyDescent="0.2">
      <c r="A634" s="172"/>
      <c r="B634" s="173"/>
      <c r="C634" s="174" t="s">
        <v>620</v>
      </c>
      <c r="D634" s="175"/>
      <c r="E634" s="176">
        <v>4.58</v>
      </c>
      <c r="F634" s="196"/>
      <c r="G634" s="169"/>
      <c r="H634" s="169"/>
      <c r="I634" s="169"/>
      <c r="J634" s="169"/>
      <c r="K634" s="169"/>
      <c r="L634" s="169"/>
      <c r="M634" s="169"/>
      <c r="N634" s="170"/>
      <c r="O634" s="170"/>
      <c r="P634" s="170"/>
      <c r="Q634" s="170"/>
      <c r="R634" s="169"/>
      <c r="S634" s="169"/>
      <c r="T634" s="169"/>
      <c r="U634" s="169"/>
      <c r="V634" s="169"/>
      <c r="W634" s="169"/>
      <c r="X634" s="169"/>
      <c r="Y634" s="169"/>
      <c r="Z634" s="171"/>
      <c r="AA634" s="171"/>
      <c r="AB634" s="171"/>
      <c r="AC634" s="171"/>
      <c r="AD634" s="171"/>
      <c r="AE634" s="171"/>
      <c r="AF634" s="171"/>
      <c r="AG634" s="171" t="s">
        <v>148</v>
      </c>
      <c r="AH634" s="171">
        <v>0</v>
      </c>
      <c r="AI634" s="171"/>
      <c r="AJ634" s="171"/>
      <c r="AK634" s="171"/>
      <c r="AL634" s="171"/>
      <c r="AM634" s="171"/>
      <c r="AN634" s="171"/>
      <c r="AO634" s="171"/>
      <c r="AP634" s="171"/>
      <c r="AQ634" s="171"/>
      <c r="AR634" s="171"/>
      <c r="AS634" s="171"/>
      <c r="AT634" s="171"/>
      <c r="AU634" s="171"/>
      <c r="AV634" s="171"/>
      <c r="AW634" s="171"/>
      <c r="AX634" s="171"/>
      <c r="AY634" s="171"/>
      <c r="AZ634" s="171"/>
      <c r="BA634" s="171"/>
      <c r="BB634" s="171"/>
      <c r="BC634" s="171"/>
      <c r="BD634" s="171"/>
      <c r="BE634" s="171"/>
      <c r="BF634" s="171"/>
      <c r="BG634" s="171"/>
      <c r="BH634" s="171"/>
    </row>
    <row r="635" spans="1:60" outlineLevel="3" x14ac:dyDescent="0.2">
      <c r="A635" s="172"/>
      <c r="B635" s="173"/>
      <c r="C635" s="174" t="s">
        <v>621</v>
      </c>
      <c r="D635" s="175"/>
      <c r="E635" s="176">
        <v>6.68</v>
      </c>
      <c r="F635" s="196"/>
      <c r="G635" s="169"/>
      <c r="H635" s="169"/>
      <c r="I635" s="169"/>
      <c r="J635" s="169"/>
      <c r="K635" s="169"/>
      <c r="L635" s="169"/>
      <c r="M635" s="169"/>
      <c r="N635" s="170"/>
      <c r="O635" s="170"/>
      <c r="P635" s="170"/>
      <c r="Q635" s="170"/>
      <c r="R635" s="169"/>
      <c r="S635" s="169"/>
      <c r="T635" s="169"/>
      <c r="U635" s="169"/>
      <c r="V635" s="169"/>
      <c r="W635" s="169"/>
      <c r="X635" s="169"/>
      <c r="Y635" s="169"/>
      <c r="Z635" s="171"/>
      <c r="AA635" s="171"/>
      <c r="AB635" s="171"/>
      <c r="AC635" s="171"/>
      <c r="AD635" s="171"/>
      <c r="AE635" s="171"/>
      <c r="AF635" s="171"/>
      <c r="AG635" s="171" t="s">
        <v>148</v>
      </c>
      <c r="AH635" s="171">
        <v>0</v>
      </c>
      <c r="AI635" s="171"/>
      <c r="AJ635" s="171"/>
      <c r="AK635" s="171"/>
      <c r="AL635" s="171"/>
      <c r="AM635" s="171"/>
      <c r="AN635" s="171"/>
      <c r="AO635" s="171"/>
      <c r="AP635" s="171"/>
      <c r="AQ635" s="171"/>
      <c r="AR635" s="171"/>
      <c r="AS635" s="171"/>
      <c r="AT635" s="171"/>
      <c r="AU635" s="171"/>
      <c r="AV635" s="171"/>
      <c r="AW635" s="171"/>
      <c r="AX635" s="171"/>
      <c r="AY635" s="171"/>
      <c r="AZ635" s="171"/>
      <c r="BA635" s="171"/>
      <c r="BB635" s="171"/>
      <c r="BC635" s="171"/>
      <c r="BD635" s="171"/>
      <c r="BE635" s="171"/>
      <c r="BF635" s="171"/>
      <c r="BG635" s="171"/>
      <c r="BH635" s="171"/>
    </row>
    <row r="636" spans="1:60" outlineLevel="3" x14ac:dyDescent="0.2">
      <c r="A636" s="172"/>
      <c r="B636" s="173"/>
      <c r="C636" s="174" t="s">
        <v>622</v>
      </c>
      <c r="D636" s="175"/>
      <c r="E636" s="176">
        <v>16</v>
      </c>
      <c r="F636" s="196"/>
      <c r="G636" s="169"/>
      <c r="H636" s="169"/>
      <c r="I636" s="169"/>
      <c r="J636" s="169"/>
      <c r="K636" s="169"/>
      <c r="L636" s="169"/>
      <c r="M636" s="169"/>
      <c r="N636" s="170"/>
      <c r="O636" s="170"/>
      <c r="P636" s="170"/>
      <c r="Q636" s="170"/>
      <c r="R636" s="169"/>
      <c r="S636" s="169"/>
      <c r="T636" s="169"/>
      <c r="U636" s="169"/>
      <c r="V636" s="169"/>
      <c r="W636" s="169"/>
      <c r="X636" s="169"/>
      <c r="Y636" s="169"/>
      <c r="Z636" s="171"/>
      <c r="AA636" s="171"/>
      <c r="AB636" s="171"/>
      <c r="AC636" s="171"/>
      <c r="AD636" s="171"/>
      <c r="AE636" s="171"/>
      <c r="AF636" s="171"/>
      <c r="AG636" s="171" t="s">
        <v>148</v>
      </c>
      <c r="AH636" s="171">
        <v>0</v>
      </c>
      <c r="AI636" s="171"/>
      <c r="AJ636" s="171"/>
      <c r="AK636" s="171"/>
      <c r="AL636" s="171"/>
      <c r="AM636" s="171"/>
      <c r="AN636" s="171"/>
      <c r="AO636" s="171"/>
      <c r="AP636" s="171"/>
      <c r="AQ636" s="171"/>
      <c r="AR636" s="171"/>
      <c r="AS636" s="171"/>
      <c r="AT636" s="171"/>
      <c r="AU636" s="171"/>
      <c r="AV636" s="171"/>
      <c r="AW636" s="171"/>
      <c r="AX636" s="171"/>
      <c r="AY636" s="171"/>
      <c r="AZ636" s="171"/>
      <c r="BA636" s="171"/>
      <c r="BB636" s="171"/>
      <c r="BC636" s="171"/>
      <c r="BD636" s="171"/>
      <c r="BE636" s="171"/>
      <c r="BF636" s="171"/>
      <c r="BG636" s="171"/>
      <c r="BH636" s="171"/>
    </row>
    <row r="637" spans="1:60" outlineLevel="3" x14ac:dyDescent="0.2">
      <c r="A637" s="172"/>
      <c r="B637" s="173"/>
      <c r="C637" s="174" t="s">
        <v>152</v>
      </c>
      <c r="D637" s="175"/>
      <c r="E637" s="176"/>
      <c r="F637" s="196"/>
      <c r="G637" s="169"/>
      <c r="H637" s="169"/>
      <c r="I637" s="169"/>
      <c r="J637" s="169"/>
      <c r="K637" s="169"/>
      <c r="L637" s="169"/>
      <c r="M637" s="169"/>
      <c r="N637" s="170"/>
      <c r="O637" s="170"/>
      <c r="P637" s="170"/>
      <c r="Q637" s="170"/>
      <c r="R637" s="169"/>
      <c r="S637" s="169"/>
      <c r="T637" s="169"/>
      <c r="U637" s="169"/>
      <c r="V637" s="169"/>
      <c r="W637" s="169"/>
      <c r="X637" s="169"/>
      <c r="Y637" s="169"/>
      <c r="Z637" s="171"/>
      <c r="AA637" s="171"/>
      <c r="AB637" s="171"/>
      <c r="AC637" s="171"/>
      <c r="AD637" s="171"/>
      <c r="AE637" s="171"/>
      <c r="AF637" s="171"/>
      <c r="AG637" s="171" t="s">
        <v>148</v>
      </c>
      <c r="AH637" s="171">
        <v>0</v>
      </c>
      <c r="AI637" s="171"/>
      <c r="AJ637" s="171"/>
      <c r="AK637" s="171"/>
      <c r="AL637" s="171"/>
      <c r="AM637" s="171"/>
      <c r="AN637" s="171"/>
      <c r="AO637" s="171"/>
      <c r="AP637" s="171"/>
      <c r="AQ637" s="171"/>
      <c r="AR637" s="171"/>
      <c r="AS637" s="171"/>
      <c r="AT637" s="171"/>
      <c r="AU637" s="171"/>
      <c r="AV637" s="171"/>
      <c r="AW637" s="171"/>
      <c r="AX637" s="171"/>
      <c r="AY637" s="171"/>
      <c r="AZ637" s="171"/>
      <c r="BA637" s="171"/>
      <c r="BB637" s="171"/>
      <c r="BC637" s="171"/>
      <c r="BD637" s="171"/>
      <c r="BE637" s="171"/>
      <c r="BF637" s="171"/>
      <c r="BG637" s="171"/>
      <c r="BH637" s="171"/>
    </row>
    <row r="638" spans="1:60" outlineLevel="3" x14ac:dyDescent="0.2">
      <c r="A638" s="172"/>
      <c r="B638" s="173"/>
      <c r="C638" s="174" t="s">
        <v>614</v>
      </c>
      <c r="D638" s="175"/>
      <c r="E638" s="176">
        <v>5.9</v>
      </c>
      <c r="F638" s="196"/>
      <c r="G638" s="169"/>
      <c r="H638" s="169"/>
      <c r="I638" s="169"/>
      <c r="J638" s="169"/>
      <c r="K638" s="169"/>
      <c r="L638" s="169"/>
      <c r="M638" s="169"/>
      <c r="N638" s="170"/>
      <c r="O638" s="170"/>
      <c r="P638" s="170"/>
      <c r="Q638" s="170"/>
      <c r="R638" s="169"/>
      <c r="S638" s="169"/>
      <c r="T638" s="169"/>
      <c r="U638" s="169"/>
      <c r="V638" s="169"/>
      <c r="W638" s="169"/>
      <c r="X638" s="169"/>
      <c r="Y638" s="169"/>
      <c r="Z638" s="171"/>
      <c r="AA638" s="171"/>
      <c r="AB638" s="171"/>
      <c r="AC638" s="171"/>
      <c r="AD638" s="171"/>
      <c r="AE638" s="171"/>
      <c r="AF638" s="171"/>
      <c r="AG638" s="171" t="s">
        <v>148</v>
      </c>
      <c r="AH638" s="171">
        <v>0</v>
      </c>
      <c r="AI638" s="171"/>
      <c r="AJ638" s="171"/>
      <c r="AK638" s="171"/>
      <c r="AL638" s="171"/>
      <c r="AM638" s="171"/>
      <c r="AN638" s="171"/>
      <c r="AO638" s="171"/>
      <c r="AP638" s="171"/>
      <c r="AQ638" s="171"/>
      <c r="AR638" s="171"/>
      <c r="AS638" s="171"/>
      <c r="AT638" s="171"/>
      <c r="AU638" s="171"/>
      <c r="AV638" s="171"/>
      <c r="AW638" s="171"/>
      <c r="AX638" s="171"/>
      <c r="AY638" s="171"/>
      <c r="AZ638" s="171"/>
      <c r="BA638" s="171"/>
      <c r="BB638" s="171"/>
      <c r="BC638" s="171"/>
      <c r="BD638" s="171"/>
      <c r="BE638" s="171"/>
      <c r="BF638" s="171"/>
      <c r="BG638" s="171"/>
      <c r="BH638" s="171"/>
    </row>
    <row r="639" spans="1:60" outlineLevel="3" x14ac:dyDescent="0.2">
      <c r="A639" s="172"/>
      <c r="B639" s="173"/>
      <c r="C639" s="174" t="s">
        <v>623</v>
      </c>
      <c r="D639" s="175"/>
      <c r="E639" s="176">
        <v>8.0299999999999994</v>
      </c>
      <c r="F639" s="196"/>
      <c r="G639" s="169"/>
      <c r="H639" s="169"/>
      <c r="I639" s="169"/>
      <c r="J639" s="169"/>
      <c r="K639" s="169"/>
      <c r="L639" s="169"/>
      <c r="M639" s="169"/>
      <c r="N639" s="170"/>
      <c r="O639" s="170"/>
      <c r="P639" s="170"/>
      <c r="Q639" s="170"/>
      <c r="R639" s="169"/>
      <c r="S639" s="169"/>
      <c r="T639" s="169"/>
      <c r="U639" s="169"/>
      <c r="V639" s="169"/>
      <c r="W639" s="169"/>
      <c r="X639" s="169"/>
      <c r="Y639" s="169"/>
      <c r="Z639" s="171"/>
      <c r="AA639" s="171"/>
      <c r="AB639" s="171"/>
      <c r="AC639" s="171"/>
      <c r="AD639" s="171"/>
      <c r="AE639" s="171"/>
      <c r="AF639" s="171"/>
      <c r="AG639" s="171" t="s">
        <v>148</v>
      </c>
      <c r="AH639" s="171">
        <v>0</v>
      </c>
      <c r="AI639" s="171"/>
      <c r="AJ639" s="171"/>
      <c r="AK639" s="171"/>
      <c r="AL639" s="171"/>
      <c r="AM639" s="171"/>
      <c r="AN639" s="171"/>
      <c r="AO639" s="171"/>
      <c r="AP639" s="171"/>
      <c r="AQ639" s="171"/>
      <c r="AR639" s="171"/>
      <c r="AS639" s="171"/>
      <c r="AT639" s="171"/>
      <c r="AU639" s="171"/>
      <c r="AV639" s="171"/>
      <c r="AW639" s="171"/>
      <c r="AX639" s="171"/>
      <c r="AY639" s="171"/>
      <c r="AZ639" s="171"/>
      <c r="BA639" s="171"/>
      <c r="BB639" s="171"/>
      <c r="BC639" s="171"/>
      <c r="BD639" s="171"/>
      <c r="BE639" s="171"/>
      <c r="BF639" s="171"/>
      <c r="BG639" s="171"/>
      <c r="BH639" s="171"/>
    </row>
    <row r="640" spans="1:60" outlineLevel="3" x14ac:dyDescent="0.2">
      <c r="A640" s="172"/>
      <c r="B640" s="173"/>
      <c r="C640" s="174" t="s">
        <v>624</v>
      </c>
      <c r="D640" s="175"/>
      <c r="E640" s="176">
        <v>6.18</v>
      </c>
      <c r="F640" s="196"/>
      <c r="G640" s="169"/>
      <c r="H640" s="169"/>
      <c r="I640" s="169"/>
      <c r="J640" s="169"/>
      <c r="K640" s="169"/>
      <c r="L640" s="169"/>
      <c r="M640" s="169"/>
      <c r="N640" s="170"/>
      <c r="O640" s="170"/>
      <c r="P640" s="170"/>
      <c r="Q640" s="170"/>
      <c r="R640" s="169"/>
      <c r="S640" s="169"/>
      <c r="T640" s="169"/>
      <c r="U640" s="169"/>
      <c r="V640" s="169"/>
      <c r="W640" s="169"/>
      <c r="X640" s="169"/>
      <c r="Y640" s="169"/>
      <c r="Z640" s="171"/>
      <c r="AA640" s="171"/>
      <c r="AB640" s="171"/>
      <c r="AC640" s="171"/>
      <c r="AD640" s="171"/>
      <c r="AE640" s="171"/>
      <c r="AF640" s="171"/>
      <c r="AG640" s="171" t="s">
        <v>148</v>
      </c>
      <c r="AH640" s="171">
        <v>0</v>
      </c>
      <c r="AI640" s="171"/>
      <c r="AJ640" s="171"/>
      <c r="AK640" s="171"/>
      <c r="AL640" s="171"/>
      <c r="AM640" s="171"/>
      <c r="AN640" s="171"/>
      <c r="AO640" s="171"/>
      <c r="AP640" s="171"/>
      <c r="AQ640" s="171"/>
      <c r="AR640" s="171"/>
      <c r="AS640" s="171"/>
      <c r="AT640" s="171"/>
      <c r="AU640" s="171"/>
      <c r="AV640" s="171"/>
      <c r="AW640" s="171"/>
      <c r="AX640" s="171"/>
      <c r="AY640" s="171"/>
      <c r="AZ640" s="171"/>
      <c r="BA640" s="171"/>
      <c r="BB640" s="171"/>
      <c r="BC640" s="171"/>
      <c r="BD640" s="171"/>
      <c r="BE640" s="171"/>
      <c r="BF640" s="171"/>
      <c r="BG640" s="171"/>
      <c r="BH640" s="171"/>
    </row>
    <row r="641" spans="1:60" outlineLevel="3" x14ac:dyDescent="0.2">
      <c r="A641" s="172"/>
      <c r="B641" s="173"/>
      <c r="C641" s="174" t="s">
        <v>625</v>
      </c>
      <c r="D641" s="175"/>
      <c r="E641" s="176">
        <v>8.5</v>
      </c>
      <c r="F641" s="196"/>
      <c r="G641" s="169"/>
      <c r="H641" s="169"/>
      <c r="I641" s="169"/>
      <c r="J641" s="169"/>
      <c r="K641" s="169"/>
      <c r="L641" s="169"/>
      <c r="M641" s="169"/>
      <c r="N641" s="170"/>
      <c r="O641" s="170"/>
      <c r="P641" s="170"/>
      <c r="Q641" s="170"/>
      <c r="R641" s="169"/>
      <c r="S641" s="169"/>
      <c r="T641" s="169"/>
      <c r="U641" s="169"/>
      <c r="V641" s="169"/>
      <c r="W641" s="169"/>
      <c r="X641" s="169"/>
      <c r="Y641" s="169"/>
      <c r="Z641" s="171"/>
      <c r="AA641" s="171"/>
      <c r="AB641" s="171"/>
      <c r="AC641" s="171"/>
      <c r="AD641" s="171"/>
      <c r="AE641" s="171"/>
      <c r="AF641" s="171"/>
      <c r="AG641" s="171" t="s">
        <v>148</v>
      </c>
      <c r="AH641" s="171">
        <v>0</v>
      </c>
      <c r="AI641" s="171"/>
      <c r="AJ641" s="171"/>
      <c r="AK641" s="171"/>
      <c r="AL641" s="171"/>
      <c r="AM641" s="171"/>
      <c r="AN641" s="171"/>
      <c r="AO641" s="171"/>
      <c r="AP641" s="171"/>
      <c r="AQ641" s="171"/>
      <c r="AR641" s="171"/>
      <c r="AS641" s="171"/>
      <c r="AT641" s="171"/>
      <c r="AU641" s="171"/>
      <c r="AV641" s="171"/>
      <c r="AW641" s="171"/>
      <c r="AX641" s="171"/>
      <c r="AY641" s="171"/>
      <c r="AZ641" s="171"/>
      <c r="BA641" s="171"/>
      <c r="BB641" s="171"/>
      <c r="BC641" s="171"/>
      <c r="BD641" s="171"/>
      <c r="BE641" s="171"/>
      <c r="BF641" s="171"/>
      <c r="BG641" s="171"/>
      <c r="BH641" s="171"/>
    </row>
    <row r="642" spans="1:60" outlineLevel="3" x14ac:dyDescent="0.2">
      <c r="A642" s="172"/>
      <c r="B642" s="173"/>
      <c r="C642" s="174" t="s">
        <v>626</v>
      </c>
      <c r="D642" s="175"/>
      <c r="E642" s="176">
        <v>7.92</v>
      </c>
      <c r="F642" s="196"/>
      <c r="G642" s="169"/>
      <c r="H642" s="169"/>
      <c r="I642" s="169"/>
      <c r="J642" s="169"/>
      <c r="K642" s="169"/>
      <c r="L642" s="169"/>
      <c r="M642" s="169"/>
      <c r="N642" s="170"/>
      <c r="O642" s="170"/>
      <c r="P642" s="170"/>
      <c r="Q642" s="170"/>
      <c r="R642" s="169"/>
      <c r="S642" s="169"/>
      <c r="T642" s="169"/>
      <c r="U642" s="169"/>
      <c r="V642" s="169"/>
      <c r="W642" s="169"/>
      <c r="X642" s="169"/>
      <c r="Y642" s="169"/>
      <c r="Z642" s="171"/>
      <c r="AA642" s="171"/>
      <c r="AB642" s="171"/>
      <c r="AC642" s="171"/>
      <c r="AD642" s="171"/>
      <c r="AE642" s="171"/>
      <c r="AF642" s="171"/>
      <c r="AG642" s="171" t="s">
        <v>148</v>
      </c>
      <c r="AH642" s="171">
        <v>0</v>
      </c>
      <c r="AI642" s="171"/>
      <c r="AJ642" s="171"/>
      <c r="AK642" s="171"/>
      <c r="AL642" s="171"/>
      <c r="AM642" s="171"/>
      <c r="AN642" s="171"/>
      <c r="AO642" s="171"/>
      <c r="AP642" s="171"/>
      <c r="AQ642" s="171"/>
      <c r="AR642" s="171"/>
      <c r="AS642" s="171"/>
      <c r="AT642" s="171"/>
      <c r="AU642" s="171"/>
      <c r="AV642" s="171"/>
      <c r="AW642" s="171"/>
      <c r="AX642" s="171"/>
      <c r="AY642" s="171"/>
      <c r="AZ642" s="171"/>
      <c r="BA642" s="171"/>
      <c r="BB642" s="171"/>
      <c r="BC642" s="171"/>
      <c r="BD642" s="171"/>
      <c r="BE642" s="171"/>
      <c r="BF642" s="171"/>
      <c r="BG642" s="171"/>
      <c r="BH642" s="171"/>
    </row>
    <row r="643" spans="1:60" outlineLevel="3" x14ac:dyDescent="0.2">
      <c r="A643" s="172"/>
      <c r="B643" s="173"/>
      <c r="C643" s="174" t="s">
        <v>627</v>
      </c>
      <c r="D643" s="175"/>
      <c r="E643" s="176">
        <v>5.5</v>
      </c>
      <c r="F643" s="196"/>
      <c r="G643" s="169"/>
      <c r="H643" s="169"/>
      <c r="I643" s="169"/>
      <c r="J643" s="169"/>
      <c r="K643" s="169"/>
      <c r="L643" s="169"/>
      <c r="M643" s="169"/>
      <c r="N643" s="170"/>
      <c r="O643" s="170"/>
      <c r="P643" s="170"/>
      <c r="Q643" s="170"/>
      <c r="R643" s="169"/>
      <c r="S643" s="169"/>
      <c r="T643" s="169"/>
      <c r="U643" s="169"/>
      <c r="V643" s="169"/>
      <c r="W643" s="169"/>
      <c r="X643" s="169"/>
      <c r="Y643" s="169"/>
      <c r="Z643" s="171"/>
      <c r="AA643" s="171"/>
      <c r="AB643" s="171"/>
      <c r="AC643" s="171"/>
      <c r="AD643" s="171"/>
      <c r="AE643" s="171"/>
      <c r="AF643" s="171"/>
      <c r="AG643" s="171" t="s">
        <v>148</v>
      </c>
      <c r="AH643" s="171">
        <v>0</v>
      </c>
      <c r="AI643" s="171"/>
      <c r="AJ643" s="171"/>
      <c r="AK643" s="171"/>
      <c r="AL643" s="171"/>
      <c r="AM643" s="171"/>
      <c r="AN643" s="171"/>
      <c r="AO643" s="171"/>
      <c r="AP643" s="171"/>
      <c r="AQ643" s="171"/>
      <c r="AR643" s="171"/>
      <c r="AS643" s="171"/>
      <c r="AT643" s="171"/>
      <c r="AU643" s="171"/>
      <c r="AV643" s="171"/>
      <c r="AW643" s="171"/>
      <c r="AX643" s="171"/>
      <c r="AY643" s="171"/>
      <c r="AZ643" s="171"/>
      <c r="BA643" s="171"/>
      <c r="BB643" s="171"/>
      <c r="BC643" s="171"/>
      <c r="BD643" s="171"/>
      <c r="BE643" s="171"/>
      <c r="BF643" s="171"/>
      <c r="BG643" s="171"/>
      <c r="BH643" s="171"/>
    </row>
    <row r="644" spans="1:60" outlineLevel="3" x14ac:dyDescent="0.2">
      <c r="A644" s="172"/>
      <c r="B644" s="173"/>
      <c r="C644" s="174" t="s">
        <v>628</v>
      </c>
      <c r="D644" s="175"/>
      <c r="E644" s="176">
        <v>4.74</v>
      </c>
      <c r="F644" s="196"/>
      <c r="G644" s="169"/>
      <c r="H644" s="169"/>
      <c r="I644" s="169"/>
      <c r="J644" s="169"/>
      <c r="K644" s="169"/>
      <c r="L644" s="169"/>
      <c r="M644" s="169"/>
      <c r="N644" s="170"/>
      <c r="O644" s="170"/>
      <c r="P644" s="170"/>
      <c r="Q644" s="170"/>
      <c r="R644" s="169"/>
      <c r="S644" s="169"/>
      <c r="T644" s="169"/>
      <c r="U644" s="169"/>
      <c r="V644" s="169"/>
      <c r="W644" s="169"/>
      <c r="X644" s="169"/>
      <c r="Y644" s="169"/>
      <c r="Z644" s="171"/>
      <c r="AA644" s="171"/>
      <c r="AB644" s="171"/>
      <c r="AC644" s="171"/>
      <c r="AD644" s="171"/>
      <c r="AE644" s="171"/>
      <c r="AF644" s="171"/>
      <c r="AG644" s="171" t="s">
        <v>148</v>
      </c>
      <c r="AH644" s="171">
        <v>0</v>
      </c>
      <c r="AI644" s="171"/>
      <c r="AJ644" s="171"/>
      <c r="AK644" s="171"/>
      <c r="AL644" s="171"/>
      <c r="AM644" s="171"/>
      <c r="AN644" s="171"/>
      <c r="AO644" s="171"/>
      <c r="AP644" s="171"/>
      <c r="AQ644" s="171"/>
      <c r="AR644" s="171"/>
      <c r="AS644" s="171"/>
      <c r="AT644" s="171"/>
      <c r="AU644" s="171"/>
      <c r="AV644" s="171"/>
      <c r="AW644" s="171"/>
      <c r="AX644" s="171"/>
      <c r="AY644" s="171"/>
      <c r="AZ644" s="171"/>
      <c r="BA644" s="171"/>
      <c r="BB644" s="171"/>
      <c r="BC644" s="171"/>
      <c r="BD644" s="171"/>
      <c r="BE644" s="171"/>
      <c r="BF644" s="171"/>
      <c r="BG644" s="171"/>
      <c r="BH644" s="171"/>
    </row>
    <row r="645" spans="1:60" outlineLevel="3" x14ac:dyDescent="0.2">
      <c r="A645" s="172"/>
      <c r="B645" s="173"/>
      <c r="C645" s="174" t="s">
        <v>629</v>
      </c>
      <c r="D645" s="175"/>
      <c r="E645" s="176">
        <v>7.3</v>
      </c>
      <c r="F645" s="196"/>
      <c r="G645" s="169"/>
      <c r="H645" s="169"/>
      <c r="I645" s="169"/>
      <c r="J645" s="169"/>
      <c r="K645" s="169"/>
      <c r="L645" s="169"/>
      <c r="M645" s="169"/>
      <c r="N645" s="170"/>
      <c r="O645" s="170"/>
      <c r="P645" s="170"/>
      <c r="Q645" s="170"/>
      <c r="R645" s="169"/>
      <c r="S645" s="169"/>
      <c r="T645" s="169"/>
      <c r="U645" s="169"/>
      <c r="V645" s="169"/>
      <c r="W645" s="169"/>
      <c r="X645" s="169"/>
      <c r="Y645" s="169"/>
      <c r="Z645" s="171"/>
      <c r="AA645" s="171"/>
      <c r="AB645" s="171"/>
      <c r="AC645" s="171"/>
      <c r="AD645" s="171"/>
      <c r="AE645" s="171"/>
      <c r="AF645" s="171"/>
      <c r="AG645" s="171" t="s">
        <v>148</v>
      </c>
      <c r="AH645" s="171">
        <v>0</v>
      </c>
      <c r="AI645" s="171"/>
      <c r="AJ645" s="171"/>
      <c r="AK645" s="171"/>
      <c r="AL645" s="171"/>
      <c r="AM645" s="171"/>
      <c r="AN645" s="171"/>
      <c r="AO645" s="171"/>
      <c r="AP645" s="171"/>
      <c r="AQ645" s="171"/>
      <c r="AR645" s="171"/>
      <c r="AS645" s="171"/>
      <c r="AT645" s="171"/>
      <c r="AU645" s="171"/>
      <c r="AV645" s="171"/>
      <c r="AW645" s="171"/>
      <c r="AX645" s="171"/>
      <c r="AY645" s="171"/>
      <c r="AZ645" s="171"/>
      <c r="BA645" s="171"/>
      <c r="BB645" s="171"/>
      <c r="BC645" s="171"/>
      <c r="BD645" s="171"/>
      <c r="BE645" s="171"/>
      <c r="BF645" s="171"/>
      <c r="BG645" s="171"/>
      <c r="BH645" s="171"/>
    </row>
    <row r="646" spans="1:60" outlineLevel="3" x14ac:dyDescent="0.2">
      <c r="A646" s="172"/>
      <c r="B646" s="173"/>
      <c r="C646" s="174" t="s">
        <v>622</v>
      </c>
      <c r="D646" s="175"/>
      <c r="E646" s="176">
        <v>16</v>
      </c>
      <c r="F646" s="196"/>
      <c r="G646" s="169"/>
      <c r="H646" s="169"/>
      <c r="I646" s="169"/>
      <c r="J646" s="169"/>
      <c r="K646" s="169"/>
      <c r="L646" s="169"/>
      <c r="M646" s="169"/>
      <c r="N646" s="170"/>
      <c r="O646" s="170"/>
      <c r="P646" s="170"/>
      <c r="Q646" s="170"/>
      <c r="R646" s="169"/>
      <c r="S646" s="169"/>
      <c r="T646" s="169"/>
      <c r="U646" s="169"/>
      <c r="V646" s="169"/>
      <c r="W646" s="169"/>
      <c r="X646" s="169"/>
      <c r="Y646" s="169"/>
      <c r="Z646" s="171"/>
      <c r="AA646" s="171"/>
      <c r="AB646" s="171"/>
      <c r="AC646" s="171"/>
      <c r="AD646" s="171"/>
      <c r="AE646" s="171"/>
      <c r="AF646" s="171"/>
      <c r="AG646" s="171" t="s">
        <v>148</v>
      </c>
      <c r="AH646" s="171">
        <v>0</v>
      </c>
      <c r="AI646" s="171"/>
      <c r="AJ646" s="171"/>
      <c r="AK646" s="171"/>
      <c r="AL646" s="171"/>
      <c r="AM646" s="171"/>
      <c r="AN646" s="171"/>
      <c r="AO646" s="171"/>
      <c r="AP646" s="171"/>
      <c r="AQ646" s="171"/>
      <c r="AR646" s="171"/>
      <c r="AS646" s="171"/>
      <c r="AT646" s="171"/>
      <c r="AU646" s="171"/>
      <c r="AV646" s="171"/>
      <c r="AW646" s="171"/>
      <c r="AX646" s="171"/>
      <c r="AY646" s="171"/>
      <c r="AZ646" s="171"/>
      <c r="BA646" s="171"/>
      <c r="BB646" s="171"/>
      <c r="BC646" s="171"/>
      <c r="BD646" s="171"/>
      <c r="BE646" s="171"/>
      <c r="BF646" s="171"/>
      <c r="BG646" s="171"/>
      <c r="BH646" s="171"/>
    </row>
    <row r="647" spans="1:60" outlineLevel="1" x14ac:dyDescent="0.2">
      <c r="A647" s="162">
        <v>102</v>
      </c>
      <c r="B647" s="163" t="s">
        <v>630</v>
      </c>
      <c r="C647" s="164" t="s">
        <v>631</v>
      </c>
      <c r="D647" s="165" t="s">
        <v>375</v>
      </c>
      <c r="E647" s="166">
        <v>19.350000000000001</v>
      </c>
      <c r="F647" s="140"/>
      <c r="G647" s="167">
        <f>ROUND(E647*F647,2)</f>
        <v>0</v>
      </c>
      <c r="H647" s="168"/>
      <c r="I647" s="169">
        <f>ROUND(E647*H647,2)</f>
        <v>0</v>
      </c>
      <c r="J647" s="168"/>
      <c r="K647" s="169">
        <f>ROUND(E647*J647,2)</f>
        <v>0</v>
      </c>
      <c r="L647" s="169">
        <v>21</v>
      </c>
      <c r="M647" s="169">
        <f>G647*(1+L647/100)</f>
        <v>0</v>
      </c>
      <c r="N647" s="170">
        <v>7.6000000000000004E-4</v>
      </c>
      <c r="O647" s="170">
        <f>ROUND(E647*N647,2)</f>
        <v>0.01</v>
      </c>
      <c r="P647" s="170">
        <v>0</v>
      </c>
      <c r="Q647" s="170">
        <f>ROUND(E647*P647,2)</f>
        <v>0</v>
      </c>
      <c r="R647" s="169"/>
      <c r="S647" s="169" t="s">
        <v>143</v>
      </c>
      <c r="T647" s="169" t="s">
        <v>143</v>
      </c>
      <c r="U647" s="169">
        <v>0.4</v>
      </c>
      <c r="V647" s="169">
        <f>ROUND(E647*U647,2)</f>
        <v>7.74</v>
      </c>
      <c r="W647" s="169"/>
      <c r="X647" s="169" t="s">
        <v>144</v>
      </c>
      <c r="Y647" s="169" t="s">
        <v>145</v>
      </c>
      <c r="Z647" s="171"/>
      <c r="AA647" s="171"/>
      <c r="AB647" s="171"/>
      <c r="AC647" s="171"/>
      <c r="AD647" s="171"/>
      <c r="AE647" s="171"/>
      <c r="AF647" s="171"/>
      <c r="AG647" s="171" t="s">
        <v>146</v>
      </c>
      <c r="AH647" s="171"/>
      <c r="AI647" s="171"/>
      <c r="AJ647" s="171"/>
      <c r="AK647" s="171"/>
      <c r="AL647" s="171"/>
      <c r="AM647" s="171"/>
      <c r="AN647" s="171"/>
      <c r="AO647" s="171"/>
      <c r="AP647" s="171"/>
      <c r="AQ647" s="171"/>
      <c r="AR647" s="171"/>
      <c r="AS647" s="171"/>
      <c r="AT647" s="171"/>
      <c r="AU647" s="171"/>
      <c r="AV647" s="171"/>
      <c r="AW647" s="171"/>
      <c r="AX647" s="171"/>
      <c r="AY647" s="171"/>
      <c r="AZ647" s="171"/>
      <c r="BA647" s="171"/>
      <c r="BB647" s="171"/>
      <c r="BC647" s="171"/>
      <c r="BD647" s="171"/>
      <c r="BE647" s="171"/>
      <c r="BF647" s="171"/>
      <c r="BG647" s="171"/>
      <c r="BH647" s="171"/>
    </row>
    <row r="648" spans="1:60" outlineLevel="2" x14ac:dyDescent="0.2">
      <c r="A648" s="172"/>
      <c r="B648" s="173"/>
      <c r="C648" s="174" t="s">
        <v>149</v>
      </c>
      <c r="D648" s="175"/>
      <c r="E648" s="176"/>
      <c r="F648" s="196"/>
      <c r="G648" s="169"/>
      <c r="H648" s="169"/>
      <c r="I648" s="169"/>
      <c r="J648" s="169"/>
      <c r="K648" s="169"/>
      <c r="L648" s="169"/>
      <c r="M648" s="169"/>
      <c r="N648" s="170"/>
      <c r="O648" s="170"/>
      <c r="P648" s="170"/>
      <c r="Q648" s="170"/>
      <c r="R648" s="169"/>
      <c r="S648" s="169"/>
      <c r="T648" s="169"/>
      <c r="U648" s="169"/>
      <c r="V648" s="169"/>
      <c r="W648" s="169"/>
      <c r="X648" s="169"/>
      <c r="Y648" s="169"/>
      <c r="Z648" s="171"/>
      <c r="AA648" s="171"/>
      <c r="AB648" s="171"/>
      <c r="AC648" s="171"/>
      <c r="AD648" s="171"/>
      <c r="AE648" s="171"/>
      <c r="AF648" s="171"/>
      <c r="AG648" s="171" t="s">
        <v>148</v>
      </c>
      <c r="AH648" s="171">
        <v>0</v>
      </c>
      <c r="AI648" s="171"/>
      <c r="AJ648" s="171"/>
      <c r="AK648" s="171"/>
      <c r="AL648" s="171"/>
      <c r="AM648" s="171"/>
      <c r="AN648" s="171"/>
      <c r="AO648" s="171"/>
      <c r="AP648" s="171"/>
      <c r="AQ648" s="171"/>
      <c r="AR648" s="171"/>
      <c r="AS648" s="171"/>
      <c r="AT648" s="171"/>
      <c r="AU648" s="171"/>
      <c r="AV648" s="171"/>
      <c r="AW648" s="171"/>
      <c r="AX648" s="171"/>
      <c r="AY648" s="171"/>
      <c r="AZ648" s="171"/>
      <c r="BA648" s="171"/>
      <c r="BB648" s="171"/>
      <c r="BC648" s="171"/>
      <c r="BD648" s="171"/>
      <c r="BE648" s="171"/>
      <c r="BF648" s="171"/>
      <c r="BG648" s="171"/>
      <c r="BH648" s="171"/>
    </row>
    <row r="649" spans="1:60" outlineLevel="3" x14ac:dyDescent="0.2">
      <c r="A649" s="172"/>
      <c r="B649" s="173"/>
      <c r="C649" s="174" t="s">
        <v>632</v>
      </c>
      <c r="D649" s="175"/>
      <c r="E649" s="176">
        <v>3.23</v>
      </c>
      <c r="F649" s="196"/>
      <c r="G649" s="169"/>
      <c r="H649" s="169"/>
      <c r="I649" s="169"/>
      <c r="J649" s="169"/>
      <c r="K649" s="169"/>
      <c r="L649" s="169"/>
      <c r="M649" s="169"/>
      <c r="N649" s="170"/>
      <c r="O649" s="170"/>
      <c r="P649" s="170"/>
      <c r="Q649" s="170"/>
      <c r="R649" s="169"/>
      <c r="S649" s="169"/>
      <c r="T649" s="169"/>
      <c r="U649" s="169"/>
      <c r="V649" s="169"/>
      <c r="W649" s="169"/>
      <c r="X649" s="169"/>
      <c r="Y649" s="169"/>
      <c r="Z649" s="171"/>
      <c r="AA649" s="171"/>
      <c r="AB649" s="171"/>
      <c r="AC649" s="171"/>
      <c r="AD649" s="171"/>
      <c r="AE649" s="171"/>
      <c r="AF649" s="171"/>
      <c r="AG649" s="171" t="s">
        <v>148</v>
      </c>
      <c r="AH649" s="171">
        <v>0</v>
      </c>
      <c r="AI649" s="171"/>
      <c r="AJ649" s="171"/>
      <c r="AK649" s="171"/>
      <c r="AL649" s="171"/>
      <c r="AM649" s="171"/>
      <c r="AN649" s="171"/>
      <c r="AO649" s="171"/>
      <c r="AP649" s="171"/>
      <c r="AQ649" s="171"/>
      <c r="AR649" s="171"/>
      <c r="AS649" s="171"/>
      <c r="AT649" s="171"/>
      <c r="AU649" s="171"/>
      <c r="AV649" s="171"/>
      <c r="AW649" s="171"/>
      <c r="AX649" s="171"/>
      <c r="AY649" s="171"/>
      <c r="AZ649" s="171"/>
      <c r="BA649" s="171"/>
      <c r="BB649" s="171"/>
      <c r="BC649" s="171"/>
      <c r="BD649" s="171"/>
      <c r="BE649" s="171"/>
      <c r="BF649" s="171"/>
      <c r="BG649" s="171"/>
      <c r="BH649" s="171"/>
    </row>
    <row r="650" spans="1:60" outlineLevel="3" x14ac:dyDescent="0.2">
      <c r="A650" s="172"/>
      <c r="B650" s="173"/>
      <c r="C650" s="174" t="s">
        <v>633</v>
      </c>
      <c r="D650" s="175"/>
      <c r="E650" s="176">
        <v>3.21</v>
      </c>
      <c r="F650" s="196"/>
      <c r="G650" s="169"/>
      <c r="H650" s="169"/>
      <c r="I650" s="169"/>
      <c r="J650" s="169"/>
      <c r="K650" s="169"/>
      <c r="L650" s="169"/>
      <c r="M650" s="169"/>
      <c r="N650" s="170"/>
      <c r="O650" s="170"/>
      <c r="P650" s="170"/>
      <c r="Q650" s="170"/>
      <c r="R650" s="169"/>
      <c r="S650" s="169"/>
      <c r="T650" s="169"/>
      <c r="U650" s="169"/>
      <c r="V650" s="169"/>
      <c r="W650" s="169"/>
      <c r="X650" s="169"/>
      <c r="Y650" s="169"/>
      <c r="Z650" s="171"/>
      <c r="AA650" s="171"/>
      <c r="AB650" s="171"/>
      <c r="AC650" s="171"/>
      <c r="AD650" s="171"/>
      <c r="AE650" s="171"/>
      <c r="AF650" s="171"/>
      <c r="AG650" s="171" t="s">
        <v>148</v>
      </c>
      <c r="AH650" s="171">
        <v>0</v>
      </c>
      <c r="AI650" s="171"/>
      <c r="AJ650" s="171"/>
      <c r="AK650" s="171"/>
      <c r="AL650" s="171"/>
      <c r="AM650" s="171"/>
      <c r="AN650" s="171"/>
      <c r="AO650" s="171"/>
      <c r="AP650" s="171"/>
      <c r="AQ650" s="171"/>
      <c r="AR650" s="171"/>
      <c r="AS650" s="171"/>
      <c r="AT650" s="171"/>
      <c r="AU650" s="171"/>
      <c r="AV650" s="171"/>
      <c r="AW650" s="171"/>
      <c r="AX650" s="171"/>
      <c r="AY650" s="171"/>
      <c r="AZ650" s="171"/>
      <c r="BA650" s="171"/>
      <c r="BB650" s="171"/>
      <c r="BC650" s="171"/>
      <c r="BD650" s="171"/>
      <c r="BE650" s="171"/>
      <c r="BF650" s="171"/>
      <c r="BG650" s="171"/>
      <c r="BH650" s="171"/>
    </row>
    <row r="651" spans="1:60" outlineLevel="3" x14ac:dyDescent="0.2">
      <c r="A651" s="172"/>
      <c r="B651" s="173"/>
      <c r="C651" s="174" t="s">
        <v>151</v>
      </c>
      <c r="D651" s="175"/>
      <c r="E651" s="176"/>
      <c r="F651" s="196"/>
      <c r="G651" s="169"/>
      <c r="H651" s="169"/>
      <c r="I651" s="169"/>
      <c r="J651" s="169"/>
      <c r="K651" s="169"/>
      <c r="L651" s="169"/>
      <c r="M651" s="169"/>
      <c r="N651" s="170"/>
      <c r="O651" s="170"/>
      <c r="P651" s="170"/>
      <c r="Q651" s="170"/>
      <c r="R651" s="169"/>
      <c r="S651" s="169"/>
      <c r="T651" s="169"/>
      <c r="U651" s="169"/>
      <c r="V651" s="169"/>
      <c r="W651" s="169"/>
      <c r="X651" s="169"/>
      <c r="Y651" s="169"/>
      <c r="Z651" s="171"/>
      <c r="AA651" s="171"/>
      <c r="AB651" s="171"/>
      <c r="AC651" s="171"/>
      <c r="AD651" s="171"/>
      <c r="AE651" s="171"/>
      <c r="AF651" s="171"/>
      <c r="AG651" s="171" t="s">
        <v>148</v>
      </c>
      <c r="AH651" s="171">
        <v>0</v>
      </c>
      <c r="AI651" s="171"/>
      <c r="AJ651" s="171"/>
      <c r="AK651" s="171"/>
      <c r="AL651" s="171"/>
      <c r="AM651" s="171"/>
      <c r="AN651" s="171"/>
      <c r="AO651" s="171"/>
      <c r="AP651" s="171"/>
      <c r="AQ651" s="171"/>
      <c r="AR651" s="171"/>
      <c r="AS651" s="171"/>
      <c r="AT651" s="171"/>
      <c r="AU651" s="171"/>
      <c r="AV651" s="171"/>
      <c r="AW651" s="171"/>
      <c r="AX651" s="171"/>
      <c r="AY651" s="171"/>
      <c r="AZ651" s="171"/>
      <c r="BA651" s="171"/>
      <c r="BB651" s="171"/>
      <c r="BC651" s="171"/>
      <c r="BD651" s="171"/>
      <c r="BE651" s="171"/>
      <c r="BF651" s="171"/>
      <c r="BG651" s="171"/>
      <c r="BH651" s="171"/>
    </row>
    <row r="652" spans="1:60" outlineLevel="3" x14ac:dyDescent="0.2">
      <c r="A652" s="172"/>
      <c r="B652" s="173"/>
      <c r="C652" s="174" t="s">
        <v>632</v>
      </c>
      <c r="D652" s="175"/>
      <c r="E652" s="176">
        <v>3.23</v>
      </c>
      <c r="F652" s="196"/>
      <c r="G652" s="169"/>
      <c r="H652" s="169"/>
      <c r="I652" s="169"/>
      <c r="J652" s="169"/>
      <c r="K652" s="169"/>
      <c r="L652" s="169"/>
      <c r="M652" s="169"/>
      <c r="N652" s="170"/>
      <c r="O652" s="170"/>
      <c r="P652" s="170"/>
      <c r="Q652" s="170"/>
      <c r="R652" s="169"/>
      <c r="S652" s="169"/>
      <c r="T652" s="169"/>
      <c r="U652" s="169"/>
      <c r="V652" s="169"/>
      <c r="W652" s="169"/>
      <c r="X652" s="169"/>
      <c r="Y652" s="169"/>
      <c r="Z652" s="171"/>
      <c r="AA652" s="171"/>
      <c r="AB652" s="171"/>
      <c r="AC652" s="171"/>
      <c r="AD652" s="171"/>
      <c r="AE652" s="171"/>
      <c r="AF652" s="171"/>
      <c r="AG652" s="171" t="s">
        <v>148</v>
      </c>
      <c r="AH652" s="171">
        <v>0</v>
      </c>
      <c r="AI652" s="171"/>
      <c r="AJ652" s="171"/>
      <c r="AK652" s="171"/>
      <c r="AL652" s="171"/>
      <c r="AM652" s="171"/>
      <c r="AN652" s="171"/>
      <c r="AO652" s="171"/>
      <c r="AP652" s="171"/>
      <c r="AQ652" s="171"/>
      <c r="AR652" s="171"/>
      <c r="AS652" s="171"/>
      <c r="AT652" s="171"/>
      <c r="AU652" s="171"/>
      <c r="AV652" s="171"/>
      <c r="AW652" s="171"/>
      <c r="AX652" s="171"/>
      <c r="AY652" s="171"/>
      <c r="AZ652" s="171"/>
      <c r="BA652" s="171"/>
      <c r="BB652" s="171"/>
      <c r="BC652" s="171"/>
      <c r="BD652" s="171"/>
      <c r="BE652" s="171"/>
      <c r="BF652" s="171"/>
      <c r="BG652" s="171"/>
      <c r="BH652" s="171"/>
    </row>
    <row r="653" spans="1:60" outlineLevel="3" x14ac:dyDescent="0.2">
      <c r="A653" s="172"/>
      <c r="B653" s="173"/>
      <c r="C653" s="174" t="s">
        <v>634</v>
      </c>
      <c r="D653" s="175"/>
      <c r="E653" s="176">
        <v>3.17</v>
      </c>
      <c r="F653" s="196"/>
      <c r="G653" s="169"/>
      <c r="H653" s="169"/>
      <c r="I653" s="169"/>
      <c r="J653" s="169"/>
      <c r="K653" s="169"/>
      <c r="L653" s="169"/>
      <c r="M653" s="169"/>
      <c r="N653" s="170"/>
      <c r="O653" s="170"/>
      <c r="P653" s="170"/>
      <c r="Q653" s="170"/>
      <c r="R653" s="169"/>
      <c r="S653" s="169"/>
      <c r="T653" s="169"/>
      <c r="U653" s="169"/>
      <c r="V653" s="169"/>
      <c r="W653" s="169"/>
      <c r="X653" s="169"/>
      <c r="Y653" s="169"/>
      <c r="Z653" s="171"/>
      <c r="AA653" s="171"/>
      <c r="AB653" s="171"/>
      <c r="AC653" s="171"/>
      <c r="AD653" s="171"/>
      <c r="AE653" s="171"/>
      <c r="AF653" s="171"/>
      <c r="AG653" s="171" t="s">
        <v>148</v>
      </c>
      <c r="AH653" s="171">
        <v>0</v>
      </c>
      <c r="AI653" s="171"/>
      <c r="AJ653" s="171"/>
      <c r="AK653" s="171"/>
      <c r="AL653" s="171"/>
      <c r="AM653" s="171"/>
      <c r="AN653" s="171"/>
      <c r="AO653" s="171"/>
      <c r="AP653" s="171"/>
      <c r="AQ653" s="171"/>
      <c r="AR653" s="171"/>
      <c r="AS653" s="171"/>
      <c r="AT653" s="171"/>
      <c r="AU653" s="171"/>
      <c r="AV653" s="171"/>
      <c r="AW653" s="171"/>
      <c r="AX653" s="171"/>
      <c r="AY653" s="171"/>
      <c r="AZ653" s="171"/>
      <c r="BA653" s="171"/>
      <c r="BB653" s="171"/>
      <c r="BC653" s="171"/>
      <c r="BD653" s="171"/>
      <c r="BE653" s="171"/>
      <c r="BF653" s="171"/>
      <c r="BG653" s="171"/>
      <c r="BH653" s="171"/>
    </row>
    <row r="654" spans="1:60" outlineLevel="3" x14ac:dyDescent="0.2">
      <c r="A654" s="172"/>
      <c r="B654" s="173"/>
      <c r="C654" s="174" t="s">
        <v>152</v>
      </c>
      <c r="D654" s="175"/>
      <c r="E654" s="176"/>
      <c r="F654" s="196"/>
      <c r="G654" s="169"/>
      <c r="H654" s="169"/>
      <c r="I654" s="169"/>
      <c r="J654" s="169"/>
      <c r="K654" s="169"/>
      <c r="L654" s="169"/>
      <c r="M654" s="169"/>
      <c r="N654" s="170"/>
      <c r="O654" s="170"/>
      <c r="P654" s="170"/>
      <c r="Q654" s="170"/>
      <c r="R654" s="169"/>
      <c r="S654" s="169"/>
      <c r="T654" s="169"/>
      <c r="U654" s="169"/>
      <c r="V654" s="169"/>
      <c r="W654" s="169"/>
      <c r="X654" s="169"/>
      <c r="Y654" s="169"/>
      <c r="Z654" s="171"/>
      <c r="AA654" s="171"/>
      <c r="AB654" s="171"/>
      <c r="AC654" s="171"/>
      <c r="AD654" s="171"/>
      <c r="AE654" s="171"/>
      <c r="AF654" s="171"/>
      <c r="AG654" s="171" t="s">
        <v>148</v>
      </c>
      <c r="AH654" s="171">
        <v>0</v>
      </c>
      <c r="AI654" s="171"/>
      <c r="AJ654" s="171"/>
      <c r="AK654" s="171"/>
      <c r="AL654" s="171"/>
      <c r="AM654" s="171"/>
      <c r="AN654" s="171"/>
      <c r="AO654" s="171"/>
      <c r="AP654" s="171"/>
      <c r="AQ654" s="171"/>
      <c r="AR654" s="171"/>
      <c r="AS654" s="171"/>
      <c r="AT654" s="171"/>
      <c r="AU654" s="171"/>
      <c r="AV654" s="171"/>
      <c r="AW654" s="171"/>
      <c r="AX654" s="171"/>
      <c r="AY654" s="171"/>
      <c r="AZ654" s="171"/>
      <c r="BA654" s="171"/>
      <c r="BB654" s="171"/>
      <c r="BC654" s="171"/>
      <c r="BD654" s="171"/>
      <c r="BE654" s="171"/>
      <c r="BF654" s="171"/>
      <c r="BG654" s="171"/>
      <c r="BH654" s="171"/>
    </row>
    <row r="655" spans="1:60" outlineLevel="3" x14ac:dyDescent="0.2">
      <c r="A655" s="172"/>
      <c r="B655" s="173"/>
      <c r="C655" s="174" t="s">
        <v>635</v>
      </c>
      <c r="D655" s="175"/>
      <c r="E655" s="176">
        <v>3.18</v>
      </c>
      <c r="F655" s="196"/>
      <c r="G655" s="169"/>
      <c r="H655" s="169"/>
      <c r="I655" s="169"/>
      <c r="J655" s="169"/>
      <c r="K655" s="169"/>
      <c r="L655" s="169"/>
      <c r="M655" s="169"/>
      <c r="N655" s="170"/>
      <c r="O655" s="170"/>
      <c r="P655" s="170"/>
      <c r="Q655" s="170"/>
      <c r="R655" s="169"/>
      <c r="S655" s="169"/>
      <c r="T655" s="169"/>
      <c r="U655" s="169"/>
      <c r="V655" s="169"/>
      <c r="W655" s="169"/>
      <c r="X655" s="169"/>
      <c r="Y655" s="169"/>
      <c r="Z655" s="171"/>
      <c r="AA655" s="171"/>
      <c r="AB655" s="171"/>
      <c r="AC655" s="171"/>
      <c r="AD655" s="171"/>
      <c r="AE655" s="171"/>
      <c r="AF655" s="171"/>
      <c r="AG655" s="171" t="s">
        <v>148</v>
      </c>
      <c r="AH655" s="171">
        <v>0</v>
      </c>
      <c r="AI655" s="171"/>
      <c r="AJ655" s="171"/>
      <c r="AK655" s="171"/>
      <c r="AL655" s="171"/>
      <c r="AM655" s="171"/>
      <c r="AN655" s="171"/>
      <c r="AO655" s="171"/>
      <c r="AP655" s="171"/>
      <c r="AQ655" s="171"/>
      <c r="AR655" s="171"/>
      <c r="AS655" s="171"/>
      <c r="AT655" s="171"/>
      <c r="AU655" s="171"/>
      <c r="AV655" s="171"/>
      <c r="AW655" s="171"/>
      <c r="AX655" s="171"/>
      <c r="AY655" s="171"/>
      <c r="AZ655" s="171"/>
      <c r="BA655" s="171"/>
      <c r="BB655" s="171"/>
      <c r="BC655" s="171"/>
      <c r="BD655" s="171"/>
      <c r="BE655" s="171"/>
      <c r="BF655" s="171"/>
      <c r="BG655" s="171"/>
      <c r="BH655" s="171"/>
    </row>
    <row r="656" spans="1:60" outlineLevel="3" x14ac:dyDescent="0.2">
      <c r="A656" s="172"/>
      <c r="B656" s="173"/>
      <c r="C656" s="174" t="s">
        <v>636</v>
      </c>
      <c r="D656" s="175"/>
      <c r="E656" s="176">
        <v>3.33</v>
      </c>
      <c r="F656" s="196"/>
      <c r="G656" s="169"/>
      <c r="H656" s="169"/>
      <c r="I656" s="169"/>
      <c r="J656" s="169"/>
      <c r="K656" s="169"/>
      <c r="L656" s="169"/>
      <c r="M656" s="169"/>
      <c r="N656" s="170"/>
      <c r="O656" s="170"/>
      <c r="P656" s="170"/>
      <c r="Q656" s="170"/>
      <c r="R656" s="169"/>
      <c r="S656" s="169"/>
      <c r="T656" s="169"/>
      <c r="U656" s="169"/>
      <c r="V656" s="169"/>
      <c r="W656" s="169"/>
      <c r="X656" s="169"/>
      <c r="Y656" s="169"/>
      <c r="Z656" s="171"/>
      <c r="AA656" s="171"/>
      <c r="AB656" s="171"/>
      <c r="AC656" s="171"/>
      <c r="AD656" s="171"/>
      <c r="AE656" s="171"/>
      <c r="AF656" s="171"/>
      <c r="AG656" s="171" t="s">
        <v>148</v>
      </c>
      <c r="AH656" s="171">
        <v>0</v>
      </c>
      <c r="AI656" s="171"/>
      <c r="AJ656" s="171"/>
      <c r="AK656" s="171"/>
      <c r="AL656" s="171"/>
      <c r="AM656" s="171"/>
      <c r="AN656" s="171"/>
      <c r="AO656" s="171"/>
      <c r="AP656" s="171"/>
      <c r="AQ656" s="171"/>
      <c r="AR656" s="171"/>
      <c r="AS656" s="171"/>
      <c r="AT656" s="171"/>
      <c r="AU656" s="171"/>
      <c r="AV656" s="171"/>
      <c r="AW656" s="171"/>
      <c r="AX656" s="171"/>
      <c r="AY656" s="171"/>
      <c r="AZ656" s="171"/>
      <c r="BA656" s="171"/>
      <c r="BB656" s="171"/>
      <c r="BC656" s="171"/>
      <c r="BD656" s="171"/>
      <c r="BE656" s="171"/>
      <c r="BF656" s="171"/>
      <c r="BG656" s="171"/>
      <c r="BH656" s="171"/>
    </row>
    <row r="657" spans="1:60" outlineLevel="1" x14ac:dyDescent="0.2">
      <c r="A657" s="162">
        <v>103</v>
      </c>
      <c r="B657" s="163" t="s">
        <v>637</v>
      </c>
      <c r="C657" s="164" t="s">
        <v>638</v>
      </c>
      <c r="D657" s="165" t="s">
        <v>159</v>
      </c>
      <c r="E657" s="166">
        <v>241.79848000000001</v>
      </c>
      <c r="F657" s="140"/>
      <c r="G657" s="167">
        <f>ROUND(E657*F657,2)</f>
        <v>0</v>
      </c>
      <c r="H657" s="168"/>
      <c r="I657" s="169">
        <f>ROUND(E657*H657,2)</f>
        <v>0</v>
      </c>
      <c r="J657" s="168"/>
      <c r="K657" s="169">
        <f>ROUND(E657*J657,2)</f>
        <v>0</v>
      </c>
      <c r="L657" s="169">
        <v>21</v>
      </c>
      <c r="M657" s="169">
        <f>G657*(1+L657/100)</f>
        <v>0</v>
      </c>
      <c r="N657" s="170">
        <v>1.0500000000000001E-2</v>
      </c>
      <c r="O657" s="170">
        <f>ROUND(E657*N657,2)</f>
        <v>2.54</v>
      </c>
      <c r="P657" s="170">
        <v>0</v>
      </c>
      <c r="Q657" s="170">
        <f>ROUND(E657*P657,2)</f>
        <v>0</v>
      </c>
      <c r="R657" s="169" t="s">
        <v>224</v>
      </c>
      <c r="S657" s="169" t="s">
        <v>143</v>
      </c>
      <c r="T657" s="169" t="s">
        <v>143</v>
      </c>
      <c r="U657" s="169">
        <v>0</v>
      </c>
      <c r="V657" s="169">
        <f>ROUND(E657*U657,2)</f>
        <v>0</v>
      </c>
      <c r="W657" s="169"/>
      <c r="X657" s="169" t="s">
        <v>225</v>
      </c>
      <c r="Y657" s="169" t="s">
        <v>145</v>
      </c>
      <c r="Z657" s="171"/>
      <c r="AA657" s="171"/>
      <c r="AB657" s="171"/>
      <c r="AC657" s="171"/>
      <c r="AD657" s="171"/>
      <c r="AE657" s="171"/>
      <c r="AF657" s="171"/>
      <c r="AG657" s="171" t="s">
        <v>226</v>
      </c>
      <c r="AH657" s="171"/>
      <c r="AI657" s="171"/>
      <c r="AJ657" s="171"/>
      <c r="AK657" s="171"/>
      <c r="AL657" s="171"/>
      <c r="AM657" s="171"/>
      <c r="AN657" s="171"/>
      <c r="AO657" s="171"/>
      <c r="AP657" s="171"/>
      <c r="AQ657" s="171"/>
      <c r="AR657" s="171"/>
      <c r="AS657" s="171"/>
      <c r="AT657" s="171"/>
      <c r="AU657" s="171"/>
      <c r="AV657" s="171"/>
      <c r="AW657" s="171"/>
      <c r="AX657" s="171"/>
      <c r="AY657" s="171"/>
      <c r="AZ657" s="171"/>
      <c r="BA657" s="171"/>
      <c r="BB657" s="171"/>
      <c r="BC657" s="171"/>
      <c r="BD657" s="171"/>
      <c r="BE657" s="171"/>
      <c r="BF657" s="171"/>
      <c r="BG657" s="171"/>
      <c r="BH657" s="171"/>
    </row>
    <row r="658" spans="1:60" outlineLevel="2" x14ac:dyDescent="0.2">
      <c r="A658" s="172"/>
      <c r="B658" s="173"/>
      <c r="C658" s="174" t="s">
        <v>639</v>
      </c>
      <c r="D658" s="175"/>
      <c r="E658" s="176">
        <v>241.79848000000001</v>
      </c>
      <c r="F658" s="196"/>
      <c r="G658" s="169"/>
      <c r="H658" s="169"/>
      <c r="I658" s="169"/>
      <c r="J658" s="169"/>
      <c r="K658" s="169"/>
      <c r="L658" s="169"/>
      <c r="M658" s="169"/>
      <c r="N658" s="170"/>
      <c r="O658" s="170"/>
      <c r="P658" s="170"/>
      <c r="Q658" s="170"/>
      <c r="R658" s="169"/>
      <c r="S658" s="169"/>
      <c r="T658" s="169"/>
      <c r="U658" s="169"/>
      <c r="V658" s="169"/>
      <c r="W658" s="169"/>
      <c r="X658" s="169"/>
      <c r="Y658" s="169"/>
      <c r="Z658" s="171"/>
      <c r="AA658" s="171"/>
      <c r="AB658" s="171"/>
      <c r="AC658" s="171"/>
      <c r="AD658" s="171"/>
      <c r="AE658" s="171"/>
      <c r="AF658" s="171"/>
      <c r="AG658" s="171" t="s">
        <v>148</v>
      </c>
      <c r="AH658" s="171">
        <v>0</v>
      </c>
      <c r="AI658" s="171"/>
      <c r="AJ658" s="171"/>
      <c r="AK658" s="171"/>
      <c r="AL658" s="171"/>
      <c r="AM658" s="171"/>
      <c r="AN658" s="171"/>
      <c r="AO658" s="171"/>
      <c r="AP658" s="171"/>
      <c r="AQ658" s="171"/>
      <c r="AR658" s="171"/>
      <c r="AS658" s="171"/>
      <c r="AT658" s="171"/>
      <c r="AU658" s="171"/>
      <c r="AV658" s="171"/>
      <c r="AW658" s="171"/>
      <c r="AX658" s="171"/>
      <c r="AY658" s="171"/>
      <c r="AZ658" s="171"/>
      <c r="BA658" s="171"/>
      <c r="BB658" s="171"/>
      <c r="BC658" s="171"/>
      <c r="BD658" s="171"/>
      <c r="BE658" s="171"/>
      <c r="BF658" s="171"/>
      <c r="BG658" s="171"/>
      <c r="BH658" s="171"/>
    </row>
    <row r="659" spans="1:60" outlineLevel="1" x14ac:dyDescent="0.2">
      <c r="A659" s="162">
        <v>104</v>
      </c>
      <c r="B659" s="163" t="s">
        <v>640</v>
      </c>
      <c r="C659" s="164" t="s">
        <v>641</v>
      </c>
      <c r="D659" s="165" t="s">
        <v>159</v>
      </c>
      <c r="E659" s="166">
        <v>3.4830000000000001</v>
      </c>
      <c r="F659" s="140"/>
      <c r="G659" s="167">
        <f>ROUND(E659*F659,2)</f>
        <v>0</v>
      </c>
      <c r="H659" s="168"/>
      <c r="I659" s="169">
        <f>ROUND(E659*H659,2)</f>
        <v>0</v>
      </c>
      <c r="J659" s="168"/>
      <c r="K659" s="169">
        <f>ROUND(E659*J659,2)</f>
        <v>0</v>
      </c>
      <c r="L659" s="169">
        <v>21</v>
      </c>
      <c r="M659" s="169">
        <f>G659*(1+L659/100)</f>
        <v>0</v>
      </c>
      <c r="N659" s="170">
        <v>1.0500000000000001E-2</v>
      </c>
      <c r="O659" s="170">
        <f>ROUND(E659*N659,2)</f>
        <v>0.04</v>
      </c>
      <c r="P659" s="170">
        <v>0</v>
      </c>
      <c r="Q659" s="170">
        <f>ROUND(E659*P659,2)</f>
        <v>0</v>
      </c>
      <c r="R659" s="169" t="s">
        <v>224</v>
      </c>
      <c r="S659" s="169" t="s">
        <v>143</v>
      </c>
      <c r="T659" s="169" t="s">
        <v>143</v>
      </c>
      <c r="U659" s="169">
        <v>0</v>
      </c>
      <c r="V659" s="169">
        <f>ROUND(E659*U659,2)</f>
        <v>0</v>
      </c>
      <c r="W659" s="169"/>
      <c r="X659" s="169" t="s">
        <v>225</v>
      </c>
      <c r="Y659" s="169" t="s">
        <v>145</v>
      </c>
      <c r="Z659" s="171"/>
      <c r="AA659" s="171"/>
      <c r="AB659" s="171"/>
      <c r="AC659" s="171"/>
      <c r="AD659" s="171"/>
      <c r="AE659" s="171"/>
      <c r="AF659" s="171"/>
      <c r="AG659" s="171" t="s">
        <v>226</v>
      </c>
      <c r="AH659" s="171"/>
      <c r="AI659" s="171"/>
      <c r="AJ659" s="171"/>
      <c r="AK659" s="171"/>
      <c r="AL659" s="171"/>
      <c r="AM659" s="171"/>
      <c r="AN659" s="171"/>
      <c r="AO659" s="171"/>
      <c r="AP659" s="171"/>
      <c r="AQ659" s="171"/>
      <c r="AR659" s="171"/>
      <c r="AS659" s="171"/>
      <c r="AT659" s="171"/>
      <c r="AU659" s="171"/>
      <c r="AV659" s="171"/>
      <c r="AW659" s="171"/>
      <c r="AX659" s="171"/>
      <c r="AY659" s="171"/>
      <c r="AZ659" s="171"/>
      <c r="BA659" s="171"/>
      <c r="BB659" s="171"/>
      <c r="BC659" s="171"/>
      <c r="BD659" s="171"/>
      <c r="BE659" s="171"/>
      <c r="BF659" s="171"/>
      <c r="BG659" s="171"/>
      <c r="BH659" s="171"/>
    </row>
    <row r="660" spans="1:60" outlineLevel="2" x14ac:dyDescent="0.2">
      <c r="A660" s="172"/>
      <c r="B660" s="173"/>
      <c r="C660" s="174" t="s">
        <v>642</v>
      </c>
      <c r="D660" s="175"/>
      <c r="E660" s="176">
        <v>3.4830000000000001</v>
      </c>
      <c r="F660" s="196"/>
      <c r="G660" s="169"/>
      <c r="H660" s="169"/>
      <c r="I660" s="169"/>
      <c r="J660" s="169"/>
      <c r="K660" s="169"/>
      <c r="L660" s="169"/>
      <c r="M660" s="169"/>
      <c r="N660" s="170"/>
      <c r="O660" s="170"/>
      <c r="P660" s="170"/>
      <c r="Q660" s="170"/>
      <c r="R660" s="169"/>
      <c r="S660" s="169"/>
      <c r="T660" s="169"/>
      <c r="U660" s="169"/>
      <c r="V660" s="169"/>
      <c r="W660" s="169"/>
      <c r="X660" s="169"/>
      <c r="Y660" s="169"/>
      <c r="Z660" s="171"/>
      <c r="AA660" s="171"/>
      <c r="AB660" s="171"/>
      <c r="AC660" s="171"/>
      <c r="AD660" s="171"/>
      <c r="AE660" s="171"/>
      <c r="AF660" s="171"/>
      <c r="AG660" s="171" t="s">
        <v>148</v>
      </c>
      <c r="AH660" s="171">
        <v>0</v>
      </c>
      <c r="AI660" s="171"/>
      <c r="AJ660" s="171"/>
      <c r="AK660" s="171"/>
      <c r="AL660" s="171"/>
      <c r="AM660" s="171"/>
      <c r="AN660" s="171"/>
      <c r="AO660" s="171"/>
      <c r="AP660" s="171"/>
      <c r="AQ660" s="171"/>
      <c r="AR660" s="171"/>
      <c r="AS660" s="171"/>
      <c r="AT660" s="171"/>
      <c r="AU660" s="171"/>
      <c r="AV660" s="171"/>
      <c r="AW660" s="171"/>
      <c r="AX660" s="171"/>
      <c r="AY660" s="171"/>
      <c r="AZ660" s="171"/>
      <c r="BA660" s="171"/>
      <c r="BB660" s="171"/>
      <c r="BC660" s="171"/>
      <c r="BD660" s="171"/>
      <c r="BE660" s="171"/>
      <c r="BF660" s="171"/>
      <c r="BG660" s="171"/>
      <c r="BH660" s="171"/>
    </row>
    <row r="661" spans="1:60" outlineLevel="1" x14ac:dyDescent="0.2">
      <c r="A661" s="172">
        <v>105</v>
      </c>
      <c r="B661" s="173" t="s">
        <v>643</v>
      </c>
      <c r="C661" s="186" t="s">
        <v>644</v>
      </c>
      <c r="D661" s="187" t="s">
        <v>0</v>
      </c>
      <c r="E661" s="142"/>
      <c r="F661" s="139"/>
      <c r="G661" s="169">
        <f>ROUND(E661*F661,2)</f>
        <v>0</v>
      </c>
      <c r="H661" s="168"/>
      <c r="I661" s="169">
        <f>ROUND(E661*H661,2)</f>
        <v>0</v>
      </c>
      <c r="J661" s="168"/>
      <c r="K661" s="169">
        <f>ROUND(E661*J661,2)</f>
        <v>0</v>
      </c>
      <c r="L661" s="169">
        <v>21</v>
      </c>
      <c r="M661" s="169">
        <f>G661*(1+L661/100)</f>
        <v>0</v>
      </c>
      <c r="N661" s="170">
        <v>0</v>
      </c>
      <c r="O661" s="170">
        <f>ROUND(E661*N661,2)</f>
        <v>0</v>
      </c>
      <c r="P661" s="170">
        <v>0</v>
      </c>
      <c r="Q661" s="170">
        <f>ROUND(E661*P661,2)</f>
        <v>0</v>
      </c>
      <c r="R661" s="169"/>
      <c r="S661" s="169" t="s">
        <v>143</v>
      </c>
      <c r="T661" s="169" t="s">
        <v>143</v>
      </c>
      <c r="U661" s="169">
        <v>0</v>
      </c>
      <c r="V661" s="169">
        <f>ROUND(E661*U661,2)</f>
        <v>0</v>
      </c>
      <c r="W661" s="169"/>
      <c r="X661" s="169" t="s">
        <v>448</v>
      </c>
      <c r="Y661" s="169" t="s">
        <v>145</v>
      </c>
      <c r="Z661" s="171"/>
      <c r="AA661" s="171"/>
      <c r="AB661" s="171"/>
      <c r="AC661" s="171"/>
      <c r="AD661" s="171"/>
      <c r="AE661" s="171"/>
      <c r="AF661" s="171"/>
      <c r="AG661" s="171" t="s">
        <v>449</v>
      </c>
      <c r="AH661" s="171"/>
      <c r="AI661" s="171"/>
      <c r="AJ661" s="171"/>
      <c r="AK661" s="171"/>
      <c r="AL661" s="171"/>
      <c r="AM661" s="171"/>
      <c r="AN661" s="171"/>
      <c r="AO661" s="171"/>
      <c r="AP661" s="171"/>
      <c r="AQ661" s="171"/>
      <c r="AR661" s="171"/>
      <c r="AS661" s="171"/>
      <c r="AT661" s="171"/>
      <c r="AU661" s="171"/>
      <c r="AV661" s="171"/>
      <c r="AW661" s="171"/>
      <c r="AX661" s="171"/>
      <c r="AY661" s="171"/>
      <c r="AZ661" s="171"/>
      <c r="BA661" s="171"/>
      <c r="BB661" s="171"/>
      <c r="BC661" s="171"/>
      <c r="BD661" s="171"/>
      <c r="BE661" s="171"/>
      <c r="BF661" s="171"/>
      <c r="BG661" s="171"/>
      <c r="BH661" s="171"/>
    </row>
    <row r="662" spans="1:60" x14ac:dyDescent="0.2">
      <c r="A662" s="153" t="s">
        <v>138</v>
      </c>
      <c r="B662" s="154" t="s">
        <v>101</v>
      </c>
      <c r="C662" s="155" t="s">
        <v>102</v>
      </c>
      <c r="D662" s="156"/>
      <c r="E662" s="157"/>
      <c r="F662" s="197"/>
      <c r="G662" s="159">
        <f>SUMIF(AG663:AG683,"&lt;&gt;NOR",G663:G683)</f>
        <v>0</v>
      </c>
      <c r="H662" s="160"/>
      <c r="I662" s="160">
        <f>SUM(I663:I683)</f>
        <v>0</v>
      </c>
      <c r="J662" s="160"/>
      <c r="K662" s="160">
        <f>SUM(K663:K683)</f>
        <v>0</v>
      </c>
      <c r="L662" s="160"/>
      <c r="M662" s="160">
        <f>SUM(M663:M683)</f>
        <v>0</v>
      </c>
      <c r="N662" s="161"/>
      <c r="O662" s="161">
        <f>SUM(O663:O683)</f>
        <v>0</v>
      </c>
      <c r="P662" s="161"/>
      <c r="Q662" s="161">
        <f>SUM(Q663:Q683)</f>
        <v>0</v>
      </c>
      <c r="R662" s="160"/>
      <c r="S662" s="160"/>
      <c r="T662" s="160"/>
      <c r="U662" s="160"/>
      <c r="V662" s="160">
        <f>SUM(V663:V683)</f>
        <v>8.27</v>
      </c>
      <c r="W662" s="160"/>
      <c r="X662" s="160"/>
      <c r="Y662" s="160"/>
      <c r="AG662" t="s">
        <v>139</v>
      </c>
    </row>
    <row r="663" spans="1:60" outlineLevel="1" x14ac:dyDescent="0.2">
      <c r="A663" s="162">
        <v>106</v>
      </c>
      <c r="B663" s="163" t="s">
        <v>645</v>
      </c>
      <c r="C663" s="164" t="s">
        <v>646</v>
      </c>
      <c r="D663" s="165" t="s">
        <v>159</v>
      </c>
      <c r="E663" s="166">
        <v>121.622</v>
      </c>
      <c r="F663" s="140"/>
      <c r="G663" s="167">
        <f>ROUND(E663*F663,2)</f>
        <v>0</v>
      </c>
      <c r="H663" s="168"/>
      <c r="I663" s="169">
        <f>ROUND(E663*H663,2)</f>
        <v>0</v>
      </c>
      <c r="J663" s="168"/>
      <c r="K663" s="169">
        <f>ROUND(E663*J663,2)</f>
        <v>0</v>
      </c>
      <c r="L663" s="169">
        <v>21</v>
      </c>
      <c r="M663" s="169">
        <f>G663*(1+L663/100)</f>
        <v>0</v>
      </c>
      <c r="N663" s="170">
        <v>1.0000000000000001E-5</v>
      </c>
      <c r="O663" s="170">
        <f>ROUND(E663*N663,2)</f>
        <v>0</v>
      </c>
      <c r="P663" s="170">
        <v>0</v>
      </c>
      <c r="Q663" s="170">
        <f>ROUND(E663*P663,2)</f>
        <v>0</v>
      </c>
      <c r="R663" s="169"/>
      <c r="S663" s="169" t="s">
        <v>143</v>
      </c>
      <c r="T663" s="169" t="s">
        <v>143</v>
      </c>
      <c r="U663" s="169">
        <v>6.8000000000000005E-2</v>
      </c>
      <c r="V663" s="169">
        <f>ROUND(E663*U663,2)</f>
        <v>8.27</v>
      </c>
      <c r="W663" s="169"/>
      <c r="X663" s="169" t="s">
        <v>144</v>
      </c>
      <c r="Y663" s="169" t="s">
        <v>145</v>
      </c>
      <c r="Z663" s="171"/>
      <c r="AA663" s="171"/>
      <c r="AB663" s="171"/>
      <c r="AC663" s="171"/>
      <c r="AD663" s="171"/>
      <c r="AE663" s="171"/>
      <c r="AF663" s="171"/>
      <c r="AG663" s="171" t="s">
        <v>146</v>
      </c>
      <c r="AH663" s="171"/>
      <c r="AI663" s="171"/>
      <c r="AJ663" s="171"/>
      <c r="AK663" s="171"/>
      <c r="AL663" s="171"/>
      <c r="AM663" s="171"/>
      <c r="AN663" s="171"/>
      <c r="AO663" s="171"/>
      <c r="AP663" s="171"/>
      <c r="AQ663" s="171"/>
      <c r="AR663" s="171"/>
      <c r="AS663" s="171"/>
      <c r="AT663" s="171"/>
      <c r="AU663" s="171"/>
      <c r="AV663" s="171"/>
      <c r="AW663" s="171"/>
      <c r="AX663" s="171"/>
      <c r="AY663" s="171"/>
      <c r="AZ663" s="171"/>
      <c r="BA663" s="171"/>
      <c r="BB663" s="171"/>
      <c r="BC663" s="171"/>
      <c r="BD663" s="171"/>
      <c r="BE663" s="171"/>
      <c r="BF663" s="171"/>
      <c r="BG663" s="171"/>
      <c r="BH663" s="171"/>
    </row>
    <row r="664" spans="1:60" outlineLevel="2" x14ac:dyDescent="0.2">
      <c r="A664" s="172"/>
      <c r="B664" s="173"/>
      <c r="C664" s="174" t="s">
        <v>647</v>
      </c>
      <c r="D664" s="175"/>
      <c r="E664" s="176"/>
      <c r="F664" s="196"/>
      <c r="G664" s="169"/>
      <c r="H664" s="169"/>
      <c r="I664" s="169"/>
      <c r="J664" s="169"/>
      <c r="K664" s="169"/>
      <c r="L664" s="169"/>
      <c r="M664" s="169"/>
      <c r="N664" s="170"/>
      <c r="O664" s="170"/>
      <c r="P664" s="170"/>
      <c r="Q664" s="170"/>
      <c r="R664" s="169"/>
      <c r="S664" s="169"/>
      <c r="T664" s="169"/>
      <c r="U664" s="169"/>
      <c r="V664" s="169"/>
      <c r="W664" s="169"/>
      <c r="X664" s="169"/>
      <c r="Y664" s="169"/>
      <c r="Z664" s="171"/>
      <c r="AA664" s="171"/>
      <c r="AB664" s="171"/>
      <c r="AC664" s="171"/>
      <c r="AD664" s="171"/>
      <c r="AE664" s="171"/>
      <c r="AF664" s="171"/>
      <c r="AG664" s="171" t="s">
        <v>148</v>
      </c>
      <c r="AH664" s="171">
        <v>0</v>
      </c>
      <c r="AI664" s="171"/>
      <c r="AJ664" s="171"/>
      <c r="AK664" s="171"/>
      <c r="AL664" s="171"/>
      <c r="AM664" s="171"/>
      <c r="AN664" s="171"/>
      <c r="AO664" s="171"/>
      <c r="AP664" s="171"/>
      <c r="AQ664" s="171"/>
      <c r="AR664" s="171"/>
      <c r="AS664" s="171"/>
      <c r="AT664" s="171"/>
      <c r="AU664" s="171"/>
      <c r="AV664" s="171"/>
      <c r="AW664" s="171"/>
      <c r="AX664" s="171"/>
      <c r="AY664" s="171"/>
      <c r="AZ664" s="171"/>
      <c r="BA664" s="171"/>
      <c r="BB664" s="171"/>
      <c r="BC664" s="171"/>
      <c r="BD664" s="171"/>
      <c r="BE664" s="171"/>
      <c r="BF664" s="171"/>
      <c r="BG664" s="171"/>
      <c r="BH664" s="171"/>
    </row>
    <row r="665" spans="1:60" outlineLevel="3" x14ac:dyDescent="0.2">
      <c r="A665" s="172"/>
      <c r="B665" s="173"/>
      <c r="C665" s="174" t="s">
        <v>149</v>
      </c>
      <c r="D665" s="175"/>
      <c r="E665" s="176"/>
      <c r="F665" s="196"/>
      <c r="G665" s="169"/>
      <c r="H665" s="169"/>
      <c r="I665" s="169"/>
      <c r="J665" s="169"/>
      <c r="K665" s="169"/>
      <c r="L665" s="169"/>
      <c r="M665" s="169"/>
      <c r="N665" s="170"/>
      <c r="O665" s="170"/>
      <c r="P665" s="170"/>
      <c r="Q665" s="170"/>
      <c r="R665" s="169"/>
      <c r="S665" s="169"/>
      <c r="T665" s="169"/>
      <c r="U665" s="169"/>
      <c r="V665" s="169"/>
      <c r="W665" s="169"/>
      <c r="X665" s="169"/>
      <c r="Y665" s="169"/>
      <c r="Z665" s="171"/>
      <c r="AA665" s="171"/>
      <c r="AB665" s="171"/>
      <c r="AC665" s="171"/>
      <c r="AD665" s="171"/>
      <c r="AE665" s="171"/>
      <c r="AF665" s="171"/>
      <c r="AG665" s="171" t="s">
        <v>148</v>
      </c>
      <c r="AH665" s="171">
        <v>0</v>
      </c>
      <c r="AI665" s="171"/>
      <c r="AJ665" s="171"/>
      <c r="AK665" s="171"/>
      <c r="AL665" s="171"/>
      <c r="AM665" s="171"/>
      <c r="AN665" s="171"/>
      <c r="AO665" s="171"/>
      <c r="AP665" s="171"/>
      <c r="AQ665" s="171"/>
      <c r="AR665" s="171"/>
      <c r="AS665" s="171"/>
      <c r="AT665" s="171"/>
      <c r="AU665" s="171"/>
      <c r="AV665" s="171"/>
      <c r="AW665" s="171"/>
      <c r="AX665" s="171"/>
      <c r="AY665" s="171"/>
      <c r="AZ665" s="171"/>
      <c r="BA665" s="171"/>
      <c r="BB665" s="171"/>
      <c r="BC665" s="171"/>
      <c r="BD665" s="171"/>
      <c r="BE665" s="171"/>
      <c r="BF665" s="171"/>
      <c r="BG665" s="171"/>
      <c r="BH665" s="171"/>
    </row>
    <row r="666" spans="1:60" outlineLevel="3" x14ac:dyDescent="0.2">
      <c r="A666" s="172"/>
      <c r="B666" s="173"/>
      <c r="C666" s="174" t="s">
        <v>648</v>
      </c>
      <c r="D666" s="175"/>
      <c r="E666" s="176">
        <v>10.628</v>
      </c>
      <c r="F666" s="196"/>
      <c r="G666" s="169"/>
      <c r="H666" s="169"/>
      <c r="I666" s="169"/>
      <c r="J666" s="169"/>
      <c r="K666" s="169"/>
      <c r="L666" s="169"/>
      <c r="M666" s="169"/>
      <c r="N666" s="170"/>
      <c r="O666" s="170"/>
      <c r="P666" s="170"/>
      <c r="Q666" s="170"/>
      <c r="R666" s="169"/>
      <c r="S666" s="169"/>
      <c r="T666" s="169"/>
      <c r="U666" s="169"/>
      <c r="V666" s="169"/>
      <c r="W666" s="169"/>
      <c r="X666" s="169"/>
      <c r="Y666" s="169"/>
      <c r="Z666" s="171"/>
      <c r="AA666" s="171"/>
      <c r="AB666" s="171"/>
      <c r="AC666" s="171"/>
      <c r="AD666" s="171"/>
      <c r="AE666" s="171"/>
      <c r="AF666" s="171"/>
      <c r="AG666" s="171" t="s">
        <v>148</v>
      </c>
      <c r="AH666" s="171">
        <v>0</v>
      </c>
      <c r="AI666" s="171"/>
      <c r="AJ666" s="171"/>
      <c r="AK666" s="171"/>
      <c r="AL666" s="171"/>
      <c r="AM666" s="171"/>
      <c r="AN666" s="171"/>
      <c r="AO666" s="171"/>
      <c r="AP666" s="171"/>
      <c r="AQ666" s="171"/>
      <c r="AR666" s="171"/>
      <c r="AS666" s="171"/>
      <c r="AT666" s="171"/>
      <c r="AU666" s="171"/>
      <c r="AV666" s="171"/>
      <c r="AW666" s="171"/>
      <c r="AX666" s="171"/>
      <c r="AY666" s="171"/>
      <c r="AZ666" s="171"/>
      <c r="BA666" s="171"/>
      <c r="BB666" s="171"/>
      <c r="BC666" s="171"/>
      <c r="BD666" s="171"/>
      <c r="BE666" s="171"/>
      <c r="BF666" s="171"/>
      <c r="BG666" s="171"/>
      <c r="BH666" s="171"/>
    </row>
    <row r="667" spans="1:60" outlineLevel="3" x14ac:dyDescent="0.2">
      <c r="A667" s="172"/>
      <c r="B667" s="173"/>
      <c r="C667" s="174" t="s">
        <v>649</v>
      </c>
      <c r="D667" s="175"/>
      <c r="E667" s="176">
        <v>6.4050000000000002</v>
      </c>
      <c r="F667" s="196"/>
      <c r="G667" s="169"/>
      <c r="H667" s="169"/>
      <c r="I667" s="169"/>
      <c r="J667" s="169"/>
      <c r="K667" s="169"/>
      <c r="L667" s="169"/>
      <c r="M667" s="169"/>
      <c r="N667" s="170"/>
      <c r="O667" s="170"/>
      <c r="P667" s="170"/>
      <c r="Q667" s="170"/>
      <c r="R667" s="169"/>
      <c r="S667" s="169"/>
      <c r="T667" s="169"/>
      <c r="U667" s="169"/>
      <c r="V667" s="169"/>
      <c r="W667" s="169"/>
      <c r="X667" s="169"/>
      <c r="Y667" s="169"/>
      <c r="Z667" s="171"/>
      <c r="AA667" s="171"/>
      <c r="AB667" s="171"/>
      <c r="AC667" s="171"/>
      <c r="AD667" s="171"/>
      <c r="AE667" s="171"/>
      <c r="AF667" s="171"/>
      <c r="AG667" s="171" t="s">
        <v>148</v>
      </c>
      <c r="AH667" s="171">
        <v>0</v>
      </c>
      <c r="AI667" s="171"/>
      <c r="AJ667" s="171"/>
      <c r="AK667" s="171"/>
      <c r="AL667" s="171"/>
      <c r="AM667" s="171"/>
      <c r="AN667" s="171"/>
      <c r="AO667" s="171"/>
      <c r="AP667" s="171"/>
      <c r="AQ667" s="171"/>
      <c r="AR667" s="171"/>
      <c r="AS667" s="171"/>
      <c r="AT667" s="171"/>
      <c r="AU667" s="171"/>
      <c r="AV667" s="171"/>
      <c r="AW667" s="171"/>
      <c r="AX667" s="171"/>
      <c r="AY667" s="171"/>
      <c r="AZ667" s="171"/>
      <c r="BA667" s="171"/>
      <c r="BB667" s="171"/>
      <c r="BC667" s="171"/>
      <c r="BD667" s="171"/>
      <c r="BE667" s="171"/>
      <c r="BF667" s="171"/>
      <c r="BG667" s="171"/>
      <c r="BH667" s="171"/>
    </row>
    <row r="668" spans="1:60" ht="22.5" outlineLevel="3" x14ac:dyDescent="0.2">
      <c r="A668" s="172"/>
      <c r="B668" s="173"/>
      <c r="C668" s="174" t="s">
        <v>650</v>
      </c>
      <c r="D668" s="175"/>
      <c r="E668" s="176">
        <v>11.103999999999999</v>
      </c>
      <c r="F668" s="196"/>
      <c r="G668" s="169"/>
      <c r="H668" s="169"/>
      <c r="I668" s="169"/>
      <c r="J668" s="169"/>
      <c r="K668" s="169"/>
      <c r="L668" s="169"/>
      <c r="M668" s="169"/>
      <c r="N668" s="170"/>
      <c r="O668" s="170"/>
      <c r="P668" s="170"/>
      <c r="Q668" s="170"/>
      <c r="R668" s="169"/>
      <c r="S668" s="169"/>
      <c r="T668" s="169"/>
      <c r="U668" s="169"/>
      <c r="V668" s="169"/>
      <c r="W668" s="169"/>
      <c r="X668" s="169"/>
      <c r="Y668" s="169"/>
      <c r="Z668" s="171"/>
      <c r="AA668" s="171"/>
      <c r="AB668" s="171"/>
      <c r="AC668" s="171"/>
      <c r="AD668" s="171"/>
      <c r="AE668" s="171"/>
      <c r="AF668" s="171"/>
      <c r="AG668" s="171" t="s">
        <v>148</v>
      </c>
      <c r="AH668" s="171">
        <v>0</v>
      </c>
      <c r="AI668" s="171"/>
      <c r="AJ668" s="171"/>
      <c r="AK668" s="171"/>
      <c r="AL668" s="171"/>
      <c r="AM668" s="171"/>
      <c r="AN668" s="171"/>
      <c r="AO668" s="171"/>
      <c r="AP668" s="171"/>
      <c r="AQ668" s="171"/>
      <c r="AR668" s="171"/>
      <c r="AS668" s="171"/>
      <c r="AT668" s="171"/>
      <c r="AU668" s="171"/>
      <c r="AV668" s="171"/>
      <c r="AW668" s="171"/>
      <c r="AX668" s="171"/>
      <c r="AY668" s="171"/>
      <c r="AZ668" s="171"/>
      <c r="BA668" s="171"/>
      <c r="BB668" s="171"/>
      <c r="BC668" s="171"/>
      <c r="BD668" s="171"/>
      <c r="BE668" s="171"/>
      <c r="BF668" s="171"/>
      <c r="BG668" s="171"/>
      <c r="BH668" s="171"/>
    </row>
    <row r="669" spans="1:60" outlineLevel="3" x14ac:dyDescent="0.2">
      <c r="A669" s="172"/>
      <c r="B669" s="173"/>
      <c r="C669" s="174" t="s">
        <v>651</v>
      </c>
      <c r="D669" s="175"/>
      <c r="E669" s="176">
        <v>5.5049999999999999</v>
      </c>
      <c r="F669" s="196"/>
      <c r="G669" s="169"/>
      <c r="H669" s="169"/>
      <c r="I669" s="169"/>
      <c r="J669" s="169"/>
      <c r="K669" s="169"/>
      <c r="L669" s="169"/>
      <c r="M669" s="169"/>
      <c r="N669" s="170"/>
      <c r="O669" s="170"/>
      <c r="P669" s="170"/>
      <c r="Q669" s="170"/>
      <c r="R669" s="169"/>
      <c r="S669" s="169"/>
      <c r="T669" s="169"/>
      <c r="U669" s="169"/>
      <c r="V669" s="169"/>
      <c r="W669" s="169"/>
      <c r="X669" s="169"/>
      <c r="Y669" s="169"/>
      <c r="Z669" s="171"/>
      <c r="AA669" s="171"/>
      <c r="AB669" s="171"/>
      <c r="AC669" s="171"/>
      <c r="AD669" s="171"/>
      <c r="AE669" s="171"/>
      <c r="AF669" s="171"/>
      <c r="AG669" s="171" t="s">
        <v>148</v>
      </c>
      <c r="AH669" s="171">
        <v>0</v>
      </c>
      <c r="AI669" s="171"/>
      <c r="AJ669" s="171"/>
      <c r="AK669" s="171"/>
      <c r="AL669" s="171"/>
      <c r="AM669" s="171"/>
      <c r="AN669" s="171"/>
      <c r="AO669" s="171"/>
      <c r="AP669" s="171"/>
      <c r="AQ669" s="171"/>
      <c r="AR669" s="171"/>
      <c r="AS669" s="171"/>
      <c r="AT669" s="171"/>
      <c r="AU669" s="171"/>
      <c r="AV669" s="171"/>
      <c r="AW669" s="171"/>
      <c r="AX669" s="171"/>
      <c r="AY669" s="171"/>
      <c r="AZ669" s="171"/>
      <c r="BA669" s="171"/>
      <c r="BB669" s="171"/>
      <c r="BC669" s="171"/>
      <c r="BD669" s="171"/>
      <c r="BE669" s="171"/>
      <c r="BF669" s="171"/>
      <c r="BG669" s="171"/>
      <c r="BH669" s="171"/>
    </row>
    <row r="670" spans="1:60" outlineLevel="3" x14ac:dyDescent="0.2">
      <c r="A670" s="172"/>
      <c r="B670" s="173"/>
      <c r="C670" s="174" t="s">
        <v>652</v>
      </c>
      <c r="D670" s="175"/>
      <c r="E670" s="176">
        <v>6.319</v>
      </c>
      <c r="F670" s="196"/>
      <c r="G670" s="169"/>
      <c r="H670" s="169"/>
      <c r="I670" s="169"/>
      <c r="J670" s="169"/>
      <c r="K670" s="169"/>
      <c r="L670" s="169"/>
      <c r="M670" s="169"/>
      <c r="N670" s="170"/>
      <c r="O670" s="170"/>
      <c r="P670" s="170"/>
      <c r="Q670" s="170"/>
      <c r="R670" s="169"/>
      <c r="S670" s="169"/>
      <c r="T670" s="169"/>
      <c r="U670" s="169"/>
      <c r="V670" s="169"/>
      <c r="W670" s="169"/>
      <c r="X670" s="169"/>
      <c r="Y670" s="169"/>
      <c r="Z670" s="171"/>
      <c r="AA670" s="171"/>
      <c r="AB670" s="171"/>
      <c r="AC670" s="171"/>
      <c r="AD670" s="171"/>
      <c r="AE670" s="171"/>
      <c r="AF670" s="171"/>
      <c r="AG670" s="171" t="s">
        <v>148</v>
      </c>
      <c r="AH670" s="171">
        <v>0</v>
      </c>
      <c r="AI670" s="171"/>
      <c r="AJ670" s="171"/>
      <c r="AK670" s="171"/>
      <c r="AL670" s="171"/>
      <c r="AM670" s="171"/>
      <c r="AN670" s="171"/>
      <c r="AO670" s="171"/>
      <c r="AP670" s="171"/>
      <c r="AQ670" s="171"/>
      <c r="AR670" s="171"/>
      <c r="AS670" s="171"/>
      <c r="AT670" s="171"/>
      <c r="AU670" s="171"/>
      <c r="AV670" s="171"/>
      <c r="AW670" s="171"/>
      <c r="AX670" s="171"/>
      <c r="AY670" s="171"/>
      <c r="AZ670" s="171"/>
      <c r="BA670" s="171"/>
      <c r="BB670" s="171"/>
      <c r="BC670" s="171"/>
      <c r="BD670" s="171"/>
      <c r="BE670" s="171"/>
      <c r="BF670" s="171"/>
      <c r="BG670" s="171"/>
      <c r="BH670" s="171"/>
    </row>
    <row r="671" spans="1:60" outlineLevel="3" x14ac:dyDescent="0.2">
      <c r="A671" s="172"/>
      <c r="B671" s="173"/>
      <c r="C671" s="174" t="s">
        <v>151</v>
      </c>
      <c r="D671" s="175"/>
      <c r="E671" s="176"/>
      <c r="F671" s="196"/>
      <c r="G671" s="169"/>
      <c r="H671" s="169"/>
      <c r="I671" s="169"/>
      <c r="J671" s="169"/>
      <c r="K671" s="169"/>
      <c r="L671" s="169"/>
      <c r="M671" s="169"/>
      <c r="N671" s="170"/>
      <c r="O671" s="170"/>
      <c r="P671" s="170"/>
      <c r="Q671" s="170"/>
      <c r="R671" s="169"/>
      <c r="S671" s="169"/>
      <c r="T671" s="169"/>
      <c r="U671" s="169"/>
      <c r="V671" s="169"/>
      <c r="W671" s="169"/>
      <c r="X671" s="169"/>
      <c r="Y671" s="169"/>
      <c r="Z671" s="171"/>
      <c r="AA671" s="171"/>
      <c r="AB671" s="171"/>
      <c r="AC671" s="171"/>
      <c r="AD671" s="171"/>
      <c r="AE671" s="171"/>
      <c r="AF671" s="171"/>
      <c r="AG671" s="171" t="s">
        <v>148</v>
      </c>
      <c r="AH671" s="171">
        <v>0</v>
      </c>
      <c r="AI671" s="171"/>
      <c r="AJ671" s="171"/>
      <c r="AK671" s="171"/>
      <c r="AL671" s="171"/>
      <c r="AM671" s="171"/>
      <c r="AN671" s="171"/>
      <c r="AO671" s="171"/>
      <c r="AP671" s="171"/>
      <c r="AQ671" s="171"/>
      <c r="AR671" s="171"/>
      <c r="AS671" s="171"/>
      <c r="AT671" s="171"/>
      <c r="AU671" s="171"/>
      <c r="AV671" s="171"/>
      <c r="AW671" s="171"/>
      <c r="AX671" s="171"/>
      <c r="AY671" s="171"/>
      <c r="AZ671" s="171"/>
      <c r="BA671" s="171"/>
      <c r="BB671" s="171"/>
      <c r="BC671" s="171"/>
      <c r="BD671" s="171"/>
      <c r="BE671" s="171"/>
      <c r="BF671" s="171"/>
      <c r="BG671" s="171"/>
      <c r="BH671" s="171"/>
    </row>
    <row r="672" spans="1:60" outlineLevel="3" x14ac:dyDescent="0.2">
      <c r="A672" s="172"/>
      <c r="B672" s="173"/>
      <c r="C672" s="174" t="s">
        <v>653</v>
      </c>
      <c r="D672" s="175"/>
      <c r="E672" s="176">
        <v>10.238</v>
      </c>
      <c r="F672" s="196"/>
      <c r="G672" s="169"/>
      <c r="H672" s="169"/>
      <c r="I672" s="169"/>
      <c r="J672" s="169"/>
      <c r="K672" s="169"/>
      <c r="L672" s="169"/>
      <c r="M672" s="169"/>
      <c r="N672" s="170"/>
      <c r="O672" s="170"/>
      <c r="P672" s="170"/>
      <c r="Q672" s="170"/>
      <c r="R672" s="169"/>
      <c r="S672" s="169"/>
      <c r="T672" s="169"/>
      <c r="U672" s="169"/>
      <c r="V672" s="169"/>
      <c r="W672" s="169"/>
      <c r="X672" s="169"/>
      <c r="Y672" s="169"/>
      <c r="Z672" s="171"/>
      <c r="AA672" s="171"/>
      <c r="AB672" s="171"/>
      <c r="AC672" s="171"/>
      <c r="AD672" s="171"/>
      <c r="AE672" s="171"/>
      <c r="AF672" s="171"/>
      <c r="AG672" s="171" t="s">
        <v>148</v>
      </c>
      <c r="AH672" s="171">
        <v>0</v>
      </c>
      <c r="AI672" s="171"/>
      <c r="AJ672" s="171"/>
      <c r="AK672" s="171"/>
      <c r="AL672" s="171"/>
      <c r="AM672" s="171"/>
      <c r="AN672" s="171"/>
      <c r="AO672" s="171"/>
      <c r="AP672" s="171"/>
      <c r="AQ672" s="171"/>
      <c r="AR672" s="171"/>
      <c r="AS672" s="171"/>
      <c r="AT672" s="171"/>
      <c r="AU672" s="171"/>
      <c r="AV672" s="171"/>
      <c r="AW672" s="171"/>
      <c r="AX672" s="171"/>
      <c r="AY672" s="171"/>
      <c r="AZ672" s="171"/>
      <c r="BA672" s="171"/>
      <c r="BB672" s="171"/>
      <c r="BC672" s="171"/>
      <c r="BD672" s="171"/>
      <c r="BE672" s="171"/>
      <c r="BF672" s="171"/>
      <c r="BG672" s="171"/>
      <c r="BH672" s="171"/>
    </row>
    <row r="673" spans="1:60" outlineLevel="3" x14ac:dyDescent="0.2">
      <c r="A673" s="172"/>
      <c r="B673" s="173"/>
      <c r="C673" s="174" t="s">
        <v>654</v>
      </c>
      <c r="D673" s="175"/>
      <c r="E673" s="176">
        <v>6.4050000000000002</v>
      </c>
      <c r="F673" s="196"/>
      <c r="G673" s="169"/>
      <c r="H673" s="169"/>
      <c r="I673" s="169"/>
      <c r="J673" s="169"/>
      <c r="K673" s="169"/>
      <c r="L673" s="169"/>
      <c r="M673" s="169"/>
      <c r="N673" s="170"/>
      <c r="O673" s="170"/>
      <c r="P673" s="170"/>
      <c r="Q673" s="170"/>
      <c r="R673" s="169"/>
      <c r="S673" s="169"/>
      <c r="T673" s="169"/>
      <c r="U673" s="169"/>
      <c r="V673" s="169"/>
      <c r="W673" s="169"/>
      <c r="X673" s="169"/>
      <c r="Y673" s="169"/>
      <c r="Z673" s="171"/>
      <c r="AA673" s="171"/>
      <c r="AB673" s="171"/>
      <c r="AC673" s="171"/>
      <c r="AD673" s="171"/>
      <c r="AE673" s="171"/>
      <c r="AF673" s="171"/>
      <c r="AG673" s="171" t="s">
        <v>148</v>
      </c>
      <c r="AH673" s="171">
        <v>0</v>
      </c>
      <c r="AI673" s="171"/>
      <c r="AJ673" s="171"/>
      <c r="AK673" s="171"/>
      <c r="AL673" s="171"/>
      <c r="AM673" s="171"/>
      <c r="AN673" s="171"/>
      <c r="AO673" s="171"/>
      <c r="AP673" s="171"/>
      <c r="AQ673" s="171"/>
      <c r="AR673" s="171"/>
      <c r="AS673" s="171"/>
      <c r="AT673" s="171"/>
      <c r="AU673" s="171"/>
      <c r="AV673" s="171"/>
      <c r="AW673" s="171"/>
      <c r="AX673" s="171"/>
      <c r="AY673" s="171"/>
      <c r="AZ673" s="171"/>
      <c r="BA673" s="171"/>
      <c r="BB673" s="171"/>
      <c r="BC673" s="171"/>
      <c r="BD673" s="171"/>
      <c r="BE673" s="171"/>
      <c r="BF673" s="171"/>
      <c r="BG673" s="171"/>
      <c r="BH673" s="171"/>
    </row>
    <row r="674" spans="1:60" ht="22.5" outlineLevel="3" x14ac:dyDescent="0.2">
      <c r="A674" s="172"/>
      <c r="B674" s="173"/>
      <c r="C674" s="174" t="s">
        <v>655</v>
      </c>
      <c r="D674" s="175"/>
      <c r="E674" s="176">
        <v>13.893000000000001</v>
      </c>
      <c r="F674" s="196"/>
      <c r="G674" s="169"/>
      <c r="H674" s="169"/>
      <c r="I674" s="169"/>
      <c r="J674" s="169"/>
      <c r="K674" s="169"/>
      <c r="L674" s="169"/>
      <c r="M674" s="169"/>
      <c r="N674" s="170"/>
      <c r="O674" s="170"/>
      <c r="P674" s="170"/>
      <c r="Q674" s="170"/>
      <c r="R674" s="169"/>
      <c r="S674" s="169"/>
      <c r="T674" s="169"/>
      <c r="U674" s="169"/>
      <c r="V674" s="169"/>
      <c r="W674" s="169"/>
      <c r="X674" s="169"/>
      <c r="Y674" s="169"/>
      <c r="Z674" s="171"/>
      <c r="AA674" s="171"/>
      <c r="AB674" s="171"/>
      <c r="AC674" s="171"/>
      <c r="AD674" s="171"/>
      <c r="AE674" s="171"/>
      <c r="AF674" s="171"/>
      <c r="AG674" s="171" t="s">
        <v>148</v>
      </c>
      <c r="AH674" s="171">
        <v>0</v>
      </c>
      <c r="AI674" s="171"/>
      <c r="AJ674" s="171"/>
      <c r="AK674" s="171"/>
      <c r="AL674" s="171"/>
      <c r="AM674" s="171"/>
      <c r="AN674" s="171"/>
      <c r="AO674" s="171"/>
      <c r="AP674" s="171"/>
      <c r="AQ674" s="171"/>
      <c r="AR674" s="171"/>
      <c r="AS674" s="171"/>
      <c r="AT674" s="171"/>
      <c r="AU674" s="171"/>
      <c r="AV674" s="171"/>
      <c r="AW674" s="171"/>
      <c r="AX674" s="171"/>
      <c r="AY674" s="171"/>
      <c r="AZ674" s="171"/>
      <c r="BA674" s="171"/>
      <c r="BB674" s="171"/>
      <c r="BC674" s="171"/>
      <c r="BD674" s="171"/>
      <c r="BE674" s="171"/>
      <c r="BF674" s="171"/>
      <c r="BG674" s="171"/>
      <c r="BH674" s="171"/>
    </row>
    <row r="675" spans="1:60" outlineLevel="3" x14ac:dyDescent="0.2">
      <c r="A675" s="172"/>
      <c r="B675" s="173"/>
      <c r="C675" s="174" t="s">
        <v>656</v>
      </c>
      <c r="D675" s="175"/>
      <c r="E675" s="176">
        <v>5.5350000000000001</v>
      </c>
      <c r="F675" s="196"/>
      <c r="G675" s="169"/>
      <c r="H675" s="169"/>
      <c r="I675" s="169"/>
      <c r="J675" s="169"/>
      <c r="K675" s="169"/>
      <c r="L675" s="169"/>
      <c r="M675" s="169"/>
      <c r="N675" s="170"/>
      <c r="O675" s="170"/>
      <c r="P675" s="170"/>
      <c r="Q675" s="170"/>
      <c r="R675" s="169"/>
      <c r="S675" s="169"/>
      <c r="T675" s="169"/>
      <c r="U675" s="169"/>
      <c r="V675" s="169"/>
      <c r="W675" s="169"/>
      <c r="X675" s="169"/>
      <c r="Y675" s="169"/>
      <c r="Z675" s="171"/>
      <c r="AA675" s="171"/>
      <c r="AB675" s="171"/>
      <c r="AC675" s="171"/>
      <c r="AD675" s="171"/>
      <c r="AE675" s="171"/>
      <c r="AF675" s="171"/>
      <c r="AG675" s="171" t="s">
        <v>148</v>
      </c>
      <c r="AH675" s="171">
        <v>0</v>
      </c>
      <c r="AI675" s="171"/>
      <c r="AJ675" s="171"/>
      <c r="AK675" s="171"/>
      <c r="AL675" s="171"/>
      <c r="AM675" s="171"/>
      <c r="AN675" s="171"/>
      <c r="AO675" s="171"/>
      <c r="AP675" s="171"/>
      <c r="AQ675" s="171"/>
      <c r="AR675" s="171"/>
      <c r="AS675" s="171"/>
      <c r="AT675" s="171"/>
      <c r="AU675" s="171"/>
      <c r="AV675" s="171"/>
      <c r="AW675" s="171"/>
      <c r="AX675" s="171"/>
      <c r="AY675" s="171"/>
      <c r="AZ675" s="171"/>
      <c r="BA675" s="171"/>
      <c r="BB675" s="171"/>
      <c r="BC675" s="171"/>
      <c r="BD675" s="171"/>
      <c r="BE675" s="171"/>
      <c r="BF675" s="171"/>
      <c r="BG675" s="171"/>
      <c r="BH675" s="171"/>
    </row>
    <row r="676" spans="1:60" outlineLevel="3" x14ac:dyDescent="0.2">
      <c r="A676" s="172"/>
      <c r="B676" s="173"/>
      <c r="C676" s="174" t="s">
        <v>657</v>
      </c>
      <c r="D676" s="175"/>
      <c r="E676" s="176">
        <v>6.5439999999999996</v>
      </c>
      <c r="F676" s="196"/>
      <c r="G676" s="169"/>
      <c r="H676" s="169"/>
      <c r="I676" s="169"/>
      <c r="J676" s="169"/>
      <c r="K676" s="169"/>
      <c r="L676" s="169"/>
      <c r="M676" s="169"/>
      <c r="N676" s="170"/>
      <c r="O676" s="170"/>
      <c r="P676" s="170"/>
      <c r="Q676" s="170"/>
      <c r="R676" s="169"/>
      <c r="S676" s="169"/>
      <c r="T676" s="169"/>
      <c r="U676" s="169"/>
      <c r="V676" s="169"/>
      <c r="W676" s="169"/>
      <c r="X676" s="169"/>
      <c r="Y676" s="169"/>
      <c r="Z676" s="171"/>
      <c r="AA676" s="171"/>
      <c r="AB676" s="171"/>
      <c r="AC676" s="171"/>
      <c r="AD676" s="171"/>
      <c r="AE676" s="171"/>
      <c r="AF676" s="171"/>
      <c r="AG676" s="171" t="s">
        <v>148</v>
      </c>
      <c r="AH676" s="171">
        <v>0</v>
      </c>
      <c r="AI676" s="171"/>
      <c r="AJ676" s="171"/>
      <c r="AK676" s="171"/>
      <c r="AL676" s="171"/>
      <c r="AM676" s="171"/>
      <c r="AN676" s="171"/>
      <c r="AO676" s="171"/>
      <c r="AP676" s="171"/>
      <c r="AQ676" s="171"/>
      <c r="AR676" s="171"/>
      <c r="AS676" s="171"/>
      <c r="AT676" s="171"/>
      <c r="AU676" s="171"/>
      <c r="AV676" s="171"/>
      <c r="AW676" s="171"/>
      <c r="AX676" s="171"/>
      <c r="AY676" s="171"/>
      <c r="AZ676" s="171"/>
      <c r="BA676" s="171"/>
      <c r="BB676" s="171"/>
      <c r="BC676" s="171"/>
      <c r="BD676" s="171"/>
      <c r="BE676" s="171"/>
      <c r="BF676" s="171"/>
      <c r="BG676" s="171"/>
      <c r="BH676" s="171"/>
    </row>
    <row r="677" spans="1:60" outlineLevel="3" x14ac:dyDescent="0.2">
      <c r="A677" s="172"/>
      <c r="B677" s="173"/>
      <c r="C677" s="174" t="s">
        <v>152</v>
      </c>
      <c r="D677" s="175"/>
      <c r="E677" s="176"/>
      <c r="F677" s="196"/>
      <c r="G677" s="169"/>
      <c r="H677" s="169"/>
      <c r="I677" s="169"/>
      <c r="J677" s="169"/>
      <c r="K677" s="169"/>
      <c r="L677" s="169"/>
      <c r="M677" s="169"/>
      <c r="N677" s="170"/>
      <c r="O677" s="170"/>
      <c r="P677" s="170"/>
      <c r="Q677" s="170"/>
      <c r="R677" s="169"/>
      <c r="S677" s="169"/>
      <c r="T677" s="169"/>
      <c r="U677" s="169"/>
      <c r="V677" s="169"/>
      <c r="W677" s="169"/>
      <c r="X677" s="169"/>
      <c r="Y677" s="169"/>
      <c r="Z677" s="171"/>
      <c r="AA677" s="171"/>
      <c r="AB677" s="171"/>
      <c r="AC677" s="171"/>
      <c r="AD677" s="171"/>
      <c r="AE677" s="171"/>
      <c r="AF677" s="171"/>
      <c r="AG677" s="171" t="s">
        <v>148</v>
      </c>
      <c r="AH677" s="171">
        <v>0</v>
      </c>
      <c r="AI677" s="171"/>
      <c r="AJ677" s="171"/>
      <c r="AK677" s="171"/>
      <c r="AL677" s="171"/>
      <c r="AM677" s="171"/>
      <c r="AN677" s="171"/>
      <c r="AO677" s="171"/>
      <c r="AP677" s="171"/>
      <c r="AQ677" s="171"/>
      <c r="AR677" s="171"/>
      <c r="AS677" s="171"/>
      <c r="AT677" s="171"/>
      <c r="AU677" s="171"/>
      <c r="AV677" s="171"/>
      <c r="AW677" s="171"/>
      <c r="AX677" s="171"/>
      <c r="AY677" s="171"/>
      <c r="AZ677" s="171"/>
      <c r="BA677" s="171"/>
      <c r="BB677" s="171"/>
      <c r="BC677" s="171"/>
      <c r="BD677" s="171"/>
      <c r="BE677" s="171"/>
      <c r="BF677" s="171"/>
      <c r="BG677" s="171"/>
      <c r="BH677" s="171"/>
    </row>
    <row r="678" spans="1:60" outlineLevel="3" x14ac:dyDescent="0.2">
      <c r="A678" s="172"/>
      <c r="B678" s="173"/>
      <c r="C678" s="174" t="s">
        <v>653</v>
      </c>
      <c r="D678" s="175"/>
      <c r="E678" s="176">
        <v>10.238</v>
      </c>
      <c r="F678" s="196"/>
      <c r="G678" s="169"/>
      <c r="H678" s="169"/>
      <c r="I678" s="169"/>
      <c r="J678" s="169"/>
      <c r="K678" s="169"/>
      <c r="L678" s="169"/>
      <c r="M678" s="169"/>
      <c r="N678" s="170"/>
      <c r="O678" s="170"/>
      <c r="P678" s="170"/>
      <c r="Q678" s="170"/>
      <c r="R678" s="169"/>
      <c r="S678" s="169"/>
      <c r="T678" s="169"/>
      <c r="U678" s="169"/>
      <c r="V678" s="169"/>
      <c r="W678" s="169"/>
      <c r="X678" s="169"/>
      <c r="Y678" s="169"/>
      <c r="Z678" s="171"/>
      <c r="AA678" s="171"/>
      <c r="AB678" s="171"/>
      <c r="AC678" s="171"/>
      <c r="AD678" s="171"/>
      <c r="AE678" s="171"/>
      <c r="AF678" s="171"/>
      <c r="AG678" s="171" t="s">
        <v>148</v>
      </c>
      <c r="AH678" s="171">
        <v>0</v>
      </c>
      <c r="AI678" s="171"/>
      <c r="AJ678" s="171"/>
      <c r="AK678" s="171"/>
      <c r="AL678" s="171"/>
      <c r="AM678" s="171"/>
      <c r="AN678" s="171"/>
      <c r="AO678" s="171"/>
      <c r="AP678" s="171"/>
      <c r="AQ678" s="171"/>
      <c r="AR678" s="171"/>
      <c r="AS678" s="171"/>
      <c r="AT678" s="171"/>
      <c r="AU678" s="171"/>
      <c r="AV678" s="171"/>
      <c r="AW678" s="171"/>
      <c r="AX678" s="171"/>
      <c r="AY678" s="171"/>
      <c r="AZ678" s="171"/>
      <c r="BA678" s="171"/>
      <c r="BB678" s="171"/>
      <c r="BC678" s="171"/>
      <c r="BD678" s="171"/>
      <c r="BE678" s="171"/>
      <c r="BF678" s="171"/>
      <c r="BG678" s="171"/>
      <c r="BH678" s="171"/>
    </row>
    <row r="679" spans="1:60" outlineLevel="3" x14ac:dyDescent="0.2">
      <c r="A679" s="172"/>
      <c r="B679" s="173"/>
      <c r="C679" s="174" t="s">
        <v>658</v>
      </c>
      <c r="D679" s="175"/>
      <c r="E679" s="176">
        <v>6.4349999999999996</v>
      </c>
      <c r="F679" s="196"/>
      <c r="G679" s="169"/>
      <c r="H679" s="169"/>
      <c r="I679" s="169"/>
      <c r="J679" s="169"/>
      <c r="K679" s="169"/>
      <c r="L679" s="169"/>
      <c r="M679" s="169"/>
      <c r="N679" s="170"/>
      <c r="O679" s="170"/>
      <c r="P679" s="170"/>
      <c r="Q679" s="170"/>
      <c r="R679" s="169"/>
      <c r="S679" s="169"/>
      <c r="T679" s="169"/>
      <c r="U679" s="169"/>
      <c r="V679" s="169"/>
      <c r="W679" s="169"/>
      <c r="X679" s="169"/>
      <c r="Y679" s="169"/>
      <c r="Z679" s="171"/>
      <c r="AA679" s="171"/>
      <c r="AB679" s="171"/>
      <c r="AC679" s="171"/>
      <c r="AD679" s="171"/>
      <c r="AE679" s="171"/>
      <c r="AF679" s="171"/>
      <c r="AG679" s="171" t="s">
        <v>148</v>
      </c>
      <c r="AH679" s="171">
        <v>0</v>
      </c>
      <c r="AI679" s="171"/>
      <c r="AJ679" s="171"/>
      <c r="AK679" s="171"/>
      <c r="AL679" s="171"/>
      <c r="AM679" s="171"/>
      <c r="AN679" s="171"/>
      <c r="AO679" s="171"/>
      <c r="AP679" s="171"/>
      <c r="AQ679" s="171"/>
      <c r="AR679" s="171"/>
      <c r="AS679" s="171"/>
      <c r="AT679" s="171"/>
      <c r="AU679" s="171"/>
      <c r="AV679" s="171"/>
      <c r="AW679" s="171"/>
      <c r="AX679" s="171"/>
      <c r="AY679" s="171"/>
      <c r="AZ679" s="171"/>
      <c r="BA679" s="171"/>
      <c r="BB679" s="171"/>
      <c r="BC679" s="171"/>
      <c r="BD679" s="171"/>
      <c r="BE679" s="171"/>
      <c r="BF679" s="171"/>
      <c r="BG679" s="171"/>
      <c r="BH679" s="171"/>
    </row>
    <row r="680" spans="1:60" ht="22.5" outlineLevel="3" x14ac:dyDescent="0.2">
      <c r="A680" s="172"/>
      <c r="B680" s="173"/>
      <c r="C680" s="174" t="s">
        <v>659</v>
      </c>
      <c r="D680" s="175"/>
      <c r="E680" s="176">
        <v>10.353999999999999</v>
      </c>
      <c r="F680" s="196"/>
      <c r="G680" s="169"/>
      <c r="H680" s="169"/>
      <c r="I680" s="169"/>
      <c r="J680" s="169"/>
      <c r="K680" s="169"/>
      <c r="L680" s="169"/>
      <c r="M680" s="169"/>
      <c r="N680" s="170"/>
      <c r="O680" s="170"/>
      <c r="P680" s="170"/>
      <c r="Q680" s="170"/>
      <c r="R680" s="169"/>
      <c r="S680" s="169"/>
      <c r="T680" s="169"/>
      <c r="U680" s="169"/>
      <c r="V680" s="169"/>
      <c r="W680" s="169"/>
      <c r="X680" s="169"/>
      <c r="Y680" s="169"/>
      <c r="Z680" s="171"/>
      <c r="AA680" s="171"/>
      <c r="AB680" s="171"/>
      <c r="AC680" s="171"/>
      <c r="AD680" s="171"/>
      <c r="AE680" s="171"/>
      <c r="AF680" s="171"/>
      <c r="AG680" s="171" t="s">
        <v>148</v>
      </c>
      <c r="AH680" s="171">
        <v>0</v>
      </c>
      <c r="AI680" s="171"/>
      <c r="AJ680" s="171"/>
      <c r="AK680" s="171"/>
      <c r="AL680" s="171"/>
      <c r="AM680" s="171"/>
      <c r="AN680" s="171"/>
      <c r="AO680" s="171"/>
      <c r="AP680" s="171"/>
      <c r="AQ680" s="171"/>
      <c r="AR680" s="171"/>
      <c r="AS680" s="171"/>
      <c r="AT680" s="171"/>
      <c r="AU680" s="171"/>
      <c r="AV680" s="171"/>
      <c r="AW680" s="171"/>
      <c r="AX680" s="171"/>
      <c r="AY680" s="171"/>
      <c r="AZ680" s="171"/>
      <c r="BA680" s="171"/>
      <c r="BB680" s="171"/>
      <c r="BC680" s="171"/>
      <c r="BD680" s="171"/>
      <c r="BE680" s="171"/>
      <c r="BF680" s="171"/>
      <c r="BG680" s="171"/>
      <c r="BH680" s="171"/>
    </row>
    <row r="681" spans="1:60" outlineLevel="3" x14ac:dyDescent="0.2">
      <c r="A681" s="172"/>
      <c r="B681" s="173"/>
      <c r="C681" s="174" t="s">
        <v>660</v>
      </c>
      <c r="D681" s="175"/>
      <c r="E681" s="176">
        <v>5.625</v>
      </c>
      <c r="F681" s="196"/>
      <c r="G681" s="169"/>
      <c r="H681" s="169"/>
      <c r="I681" s="169"/>
      <c r="J681" s="169"/>
      <c r="K681" s="169"/>
      <c r="L681" s="169"/>
      <c r="M681" s="169"/>
      <c r="N681" s="170"/>
      <c r="O681" s="170"/>
      <c r="P681" s="170"/>
      <c r="Q681" s="170"/>
      <c r="R681" s="169"/>
      <c r="S681" s="169"/>
      <c r="T681" s="169"/>
      <c r="U681" s="169"/>
      <c r="V681" s="169"/>
      <c r="W681" s="169"/>
      <c r="X681" s="169"/>
      <c r="Y681" s="169"/>
      <c r="Z681" s="171"/>
      <c r="AA681" s="171"/>
      <c r="AB681" s="171"/>
      <c r="AC681" s="171"/>
      <c r="AD681" s="171"/>
      <c r="AE681" s="171"/>
      <c r="AF681" s="171"/>
      <c r="AG681" s="171" t="s">
        <v>148</v>
      </c>
      <c r="AH681" s="171">
        <v>0</v>
      </c>
      <c r="AI681" s="171"/>
      <c r="AJ681" s="171"/>
      <c r="AK681" s="171"/>
      <c r="AL681" s="171"/>
      <c r="AM681" s="171"/>
      <c r="AN681" s="171"/>
      <c r="AO681" s="171"/>
      <c r="AP681" s="171"/>
      <c r="AQ681" s="171"/>
      <c r="AR681" s="171"/>
      <c r="AS681" s="171"/>
      <c r="AT681" s="171"/>
      <c r="AU681" s="171"/>
      <c r="AV681" s="171"/>
      <c r="AW681" s="171"/>
      <c r="AX681" s="171"/>
      <c r="AY681" s="171"/>
      <c r="AZ681" s="171"/>
      <c r="BA681" s="171"/>
      <c r="BB681" s="171"/>
      <c r="BC681" s="171"/>
      <c r="BD681" s="171"/>
      <c r="BE681" s="171"/>
      <c r="BF681" s="171"/>
      <c r="BG681" s="171"/>
      <c r="BH681" s="171"/>
    </row>
    <row r="682" spans="1:60" outlineLevel="3" x14ac:dyDescent="0.2">
      <c r="A682" s="172"/>
      <c r="B682" s="173"/>
      <c r="C682" s="174" t="s">
        <v>661</v>
      </c>
      <c r="D682" s="175"/>
      <c r="E682" s="176">
        <v>6.3940000000000001</v>
      </c>
      <c r="F682" s="196"/>
      <c r="G682" s="169"/>
      <c r="H682" s="169"/>
      <c r="I682" s="169"/>
      <c r="J682" s="169"/>
      <c r="K682" s="169"/>
      <c r="L682" s="169"/>
      <c r="M682" s="169"/>
      <c r="N682" s="170"/>
      <c r="O682" s="170"/>
      <c r="P682" s="170"/>
      <c r="Q682" s="170"/>
      <c r="R682" s="169"/>
      <c r="S682" s="169"/>
      <c r="T682" s="169"/>
      <c r="U682" s="169"/>
      <c r="V682" s="169"/>
      <c r="W682" s="169"/>
      <c r="X682" s="169"/>
      <c r="Y682" s="169"/>
      <c r="Z682" s="171"/>
      <c r="AA682" s="171"/>
      <c r="AB682" s="171"/>
      <c r="AC682" s="171"/>
      <c r="AD682" s="171"/>
      <c r="AE682" s="171"/>
      <c r="AF682" s="171"/>
      <c r="AG682" s="171" t="s">
        <v>148</v>
      </c>
      <c r="AH682" s="171">
        <v>0</v>
      </c>
      <c r="AI682" s="171"/>
      <c r="AJ682" s="171"/>
      <c r="AK682" s="171"/>
      <c r="AL682" s="171"/>
      <c r="AM682" s="171"/>
      <c r="AN682" s="171"/>
      <c r="AO682" s="171"/>
      <c r="AP682" s="171"/>
      <c r="AQ682" s="171"/>
      <c r="AR682" s="171"/>
      <c r="AS682" s="171"/>
      <c r="AT682" s="171"/>
      <c r="AU682" s="171"/>
      <c r="AV682" s="171"/>
      <c r="AW682" s="171"/>
      <c r="AX682" s="171"/>
      <c r="AY682" s="171"/>
      <c r="AZ682" s="171"/>
      <c r="BA682" s="171"/>
      <c r="BB682" s="171"/>
      <c r="BC682" s="171"/>
      <c r="BD682" s="171"/>
      <c r="BE682" s="171"/>
      <c r="BF682" s="171"/>
      <c r="BG682" s="171"/>
      <c r="BH682" s="171"/>
    </row>
    <row r="683" spans="1:60" outlineLevel="1" x14ac:dyDescent="0.2">
      <c r="A683" s="177">
        <v>107</v>
      </c>
      <c r="B683" s="178" t="s">
        <v>662</v>
      </c>
      <c r="C683" s="179" t="s">
        <v>663</v>
      </c>
      <c r="D683" s="180" t="s">
        <v>664</v>
      </c>
      <c r="E683" s="181">
        <v>27</v>
      </c>
      <c r="F683" s="141"/>
      <c r="G683" s="182">
        <f>ROUND(E683*F683,2)</f>
        <v>0</v>
      </c>
      <c r="H683" s="168"/>
      <c r="I683" s="169">
        <f>ROUND(E683*H683,2)</f>
        <v>0</v>
      </c>
      <c r="J683" s="168"/>
      <c r="K683" s="169">
        <f>ROUND(E683*J683,2)</f>
        <v>0</v>
      </c>
      <c r="L683" s="169">
        <v>21</v>
      </c>
      <c r="M683" s="169">
        <f>G683*(1+L683/100)</f>
        <v>0</v>
      </c>
      <c r="N683" s="170">
        <v>0</v>
      </c>
      <c r="O683" s="170">
        <f>ROUND(E683*N683,2)</f>
        <v>0</v>
      </c>
      <c r="P683" s="170">
        <v>0</v>
      </c>
      <c r="Q683" s="170">
        <f>ROUND(E683*P683,2)</f>
        <v>0</v>
      </c>
      <c r="R683" s="169"/>
      <c r="S683" s="169" t="s">
        <v>213</v>
      </c>
      <c r="T683" s="169" t="s">
        <v>214</v>
      </c>
      <c r="U683" s="169">
        <v>0</v>
      </c>
      <c r="V683" s="169">
        <f>ROUND(E683*U683,2)</f>
        <v>0</v>
      </c>
      <c r="W683" s="169"/>
      <c r="X683" s="169" t="s">
        <v>144</v>
      </c>
      <c r="Y683" s="169" t="s">
        <v>145</v>
      </c>
      <c r="Z683" s="171"/>
      <c r="AA683" s="171"/>
      <c r="AB683" s="171"/>
      <c r="AC683" s="171"/>
      <c r="AD683" s="171"/>
      <c r="AE683" s="171"/>
      <c r="AF683" s="171"/>
      <c r="AG683" s="171" t="s">
        <v>146</v>
      </c>
      <c r="AH683" s="171"/>
      <c r="AI683" s="171"/>
      <c r="AJ683" s="171"/>
      <c r="AK683" s="171"/>
      <c r="AL683" s="171"/>
      <c r="AM683" s="171"/>
      <c r="AN683" s="171"/>
      <c r="AO683" s="171"/>
      <c r="AP683" s="171"/>
      <c r="AQ683" s="171"/>
      <c r="AR683" s="171"/>
      <c r="AS683" s="171"/>
      <c r="AT683" s="171"/>
      <c r="AU683" s="171"/>
      <c r="AV683" s="171"/>
      <c r="AW683" s="171"/>
      <c r="AX683" s="171"/>
      <c r="AY683" s="171"/>
      <c r="AZ683" s="171"/>
      <c r="BA683" s="171"/>
      <c r="BB683" s="171"/>
      <c r="BC683" s="171"/>
      <c r="BD683" s="171"/>
      <c r="BE683" s="171"/>
      <c r="BF683" s="171"/>
      <c r="BG683" s="171"/>
      <c r="BH683" s="171"/>
    </row>
    <row r="684" spans="1:60" x14ac:dyDescent="0.2">
      <c r="A684" s="153" t="s">
        <v>138</v>
      </c>
      <c r="B684" s="154" t="s">
        <v>103</v>
      </c>
      <c r="C684" s="155" t="s">
        <v>104</v>
      </c>
      <c r="D684" s="156"/>
      <c r="E684" s="157"/>
      <c r="F684" s="197"/>
      <c r="G684" s="159">
        <f>SUMIF(AG685:AG717,"&lt;&gt;NOR",G685:G717)</f>
        <v>0</v>
      </c>
      <c r="H684" s="160"/>
      <c r="I684" s="160">
        <f>SUM(I685:I717)</f>
        <v>0</v>
      </c>
      <c r="J684" s="160"/>
      <c r="K684" s="160">
        <f>SUM(K685:K717)</f>
        <v>0</v>
      </c>
      <c r="L684" s="160"/>
      <c r="M684" s="160">
        <f>SUM(M685:M717)</f>
        <v>0</v>
      </c>
      <c r="N684" s="161"/>
      <c r="O684" s="161">
        <f>SUM(O685:O717)</f>
        <v>0.41</v>
      </c>
      <c r="P684" s="161"/>
      <c r="Q684" s="161">
        <f>SUM(Q685:Q717)</f>
        <v>0</v>
      </c>
      <c r="R684" s="160"/>
      <c r="S684" s="160"/>
      <c r="T684" s="160"/>
      <c r="U684" s="160"/>
      <c r="V684" s="160">
        <f>SUM(V685:V717)</f>
        <v>244.00000000000003</v>
      </c>
      <c r="W684" s="160"/>
      <c r="X684" s="160"/>
      <c r="Y684" s="160"/>
      <c r="AG684" t="s">
        <v>139</v>
      </c>
    </row>
    <row r="685" spans="1:60" ht="22.5" outlineLevel="1" x14ac:dyDescent="0.2">
      <c r="A685" s="162">
        <v>108</v>
      </c>
      <c r="B685" s="163" t="s">
        <v>665</v>
      </c>
      <c r="C685" s="164" t="s">
        <v>666</v>
      </c>
      <c r="D685" s="165" t="s">
        <v>159</v>
      </c>
      <c r="E685" s="166">
        <v>123</v>
      </c>
      <c r="F685" s="140"/>
      <c r="G685" s="167">
        <f>ROUND(E685*F685,2)</f>
        <v>0</v>
      </c>
      <c r="H685" s="168"/>
      <c r="I685" s="169">
        <f>ROUND(E685*H685,2)</f>
        <v>0</v>
      </c>
      <c r="J685" s="168"/>
      <c r="K685" s="169">
        <f>ROUND(E685*J685,2)</f>
        <v>0</v>
      </c>
      <c r="L685" s="169">
        <v>21</v>
      </c>
      <c r="M685" s="169">
        <f>G685*(1+L685/100)</f>
        <v>0</v>
      </c>
      <c r="N685" s="170">
        <v>8.0000000000000007E-5</v>
      </c>
      <c r="O685" s="170">
        <f>ROUND(E685*N685,2)</f>
        <v>0.01</v>
      </c>
      <c r="P685" s="170">
        <v>0</v>
      </c>
      <c r="Q685" s="170">
        <f>ROUND(E685*P685,2)</f>
        <v>0</v>
      </c>
      <c r="R685" s="169"/>
      <c r="S685" s="169" t="s">
        <v>143</v>
      </c>
      <c r="T685" s="169" t="s">
        <v>143</v>
      </c>
      <c r="U685" s="169">
        <v>3.2480000000000002E-2</v>
      </c>
      <c r="V685" s="169">
        <f>ROUND(E685*U685,2)</f>
        <v>4</v>
      </c>
      <c r="W685" s="169"/>
      <c r="X685" s="169" t="s">
        <v>144</v>
      </c>
      <c r="Y685" s="169" t="s">
        <v>145</v>
      </c>
      <c r="Z685" s="171"/>
      <c r="AA685" s="171"/>
      <c r="AB685" s="171"/>
      <c r="AC685" s="171"/>
      <c r="AD685" s="171"/>
      <c r="AE685" s="171"/>
      <c r="AF685" s="171"/>
      <c r="AG685" s="171" t="s">
        <v>146</v>
      </c>
      <c r="AH685" s="171"/>
      <c r="AI685" s="171"/>
      <c r="AJ685" s="171"/>
      <c r="AK685" s="171"/>
      <c r="AL685" s="171"/>
      <c r="AM685" s="171"/>
      <c r="AN685" s="171"/>
      <c r="AO685" s="171"/>
      <c r="AP685" s="171"/>
      <c r="AQ685" s="171"/>
      <c r="AR685" s="171"/>
      <c r="AS685" s="171"/>
      <c r="AT685" s="171"/>
      <c r="AU685" s="171"/>
      <c r="AV685" s="171"/>
      <c r="AW685" s="171"/>
      <c r="AX685" s="171"/>
      <c r="AY685" s="171"/>
      <c r="AZ685" s="171"/>
      <c r="BA685" s="171"/>
      <c r="BB685" s="171"/>
      <c r="BC685" s="171"/>
      <c r="BD685" s="171"/>
      <c r="BE685" s="171"/>
      <c r="BF685" s="171"/>
      <c r="BG685" s="171"/>
      <c r="BH685" s="171"/>
    </row>
    <row r="686" spans="1:60" outlineLevel="2" x14ac:dyDescent="0.2">
      <c r="A686" s="172"/>
      <c r="B686" s="173"/>
      <c r="C686" s="174" t="s">
        <v>149</v>
      </c>
      <c r="D686" s="175"/>
      <c r="E686" s="176"/>
      <c r="F686" s="196"/>
      <c r="G686" s="169"/>
      <c r="H686" s="169"/>
      <c r="I686" s="169"/>
      <c r="J686" s="169"/>
      <c r="K686" s="169"/>
      <c r="L686" s="169"/>
      <c r="M686" s="169"/>
      <c r="N686" s="170"/>
      <c r="O686" s="170"/>
      <c r="P686" s="170"/>
      <c r="Q686" s="170"/>
      <c r="R686" s="169"/>
      <c r="S686" s="169"/>
      <c r="T686" s="169"/>
      <c r="U686" s="169"/>
      <c r="V686" s="169"/>
      <c r="W686" s="169"/>
      <c r="X686" s="169"/>
      <c r="Y686" s="169"/>
      <c r="Z686" s="171"/>
      <c r="AA686" s="171"/>
      <c r="AB686" s="171"/>
      <c r="AC686" s="171"/>
      <c r="AD686" s="171"/>
      <c r="AE686" s="171"/>
      <c r="AF686" s="171"/>
      <c r="AG686" s="171" t="s">
        <v>148</v>
      </c>
      <c r="AH686" s="171">
        <v>0</v>
      </c>
      <c r="AI686" s="171"/>
      <c r="AJ686" s="171"/>
      <c r="AK686" s="171"/>
      <c r="AL686" s="171"/>
      <c r="AM686" s="171"/>
      <c r="AN686" s="171"/>
      <c r="AO686" s="171"/>
      <c r="AP686" s="171"/>
      <c r="AQ686" s="171"/>
      <c r="AR686" s="171"/>
      <c r="AS686" s="171"/>
      <c r="AT686" s="171"/>
      <c r="AU686" s="171"/>
      <c r="AV686" s="171"/>
      <c r="AW686" s="171"/>
      <c r="AX686" s="171"/>
      <c r="AY686" s="171"/>
      <c r="AZ686" s="171"/>
      <c r="BA686" s="171"/>
      <c r="BB686" s="171"/>
      <c r="BC686" s="171"/>
      <c r="BD686" s="171"/>
      <c r="BE686" s="171"/>
      <c r="BF686" s="171"/>
      <c r="BG686" s="171"/>
      <c r="BH686" s="171"/>
    </row>
    <row r="687" spans="1:60" outlineLevel="3" x14ac:dyDescent="0.2">
      <c r="A687" s="172"/>
      <c r="B687" s="173"/>
      <c r="C687" s="174" t="s">
        <v>667</v>
      </c>
      <c r="D687" s="175"/>
      <c r="E687" s="176">
        <v>11.07</v>
      </c>
      <c r="F687" s="196"/>
      <c r="G687" s="169"/>
      <c r="H687" s="169"/>
      <c r="I687" s="169"/>
      <c r="J687" s="169"/>
      <c r="K687" s="169"/>
      <c r="L687" s="169"/>
      <c r="M687" s="169"/>
      <c r="N687" s="170"/>
      <c r="O687" s="170"/>
      <c r="P687" s="170"/>
      <c r="Q687" s="170"/>
      <c r="R687" s="169"/>
      <c r="S687" s="169"/>
      <c r="T687" s="169"/>
      <c r="U687" s="169"/>
      <c r="V687" s="169"/>
      <c r="W687" s="169"/>
      <c r="X687" s="169"/>
      <c r="Y687" s="169"/>
      <c r="Z687" s="171"/>
      <c r="AA687" s="171"/>
      <c r="AB687" s="171"/>
      <c r="AC687" s="171"/>
      <c r="AD687" s="171"/>
      <c r="AE687" s="171"/>
      <c r="AF687" s="171"/>
      <c r="AG687" s="171" t="s">
        <v>148</v>
      </c>
      <c r="AH687" s="171">
        <v>0</v>
      </c>
      <c r="AI687" s="171"/>
      <c r="AJ687" s="171"/>
      <c r="AK687" s="171"/>
      <c r="AL687" s="171"/>
      <c r="AM687" s="171"/>
      <c r="AN687" s="171"/>
      <c r="AO687" s="171"/>
      <c r="AP687" s="171"/>
      <c r="AQ687" s="171"/>
      <c r="AR687" s="171"/>
      <c r="AS687" s="171"/>
      <c r="AT687" s="171"/>
      <c r="AU687" s="171"/>
      <c r="AV687" s="171"/>
      <c r="AW687" s="171"/>
      <c r="AX687" s="171"/>
      <c r="AY687" s="171"/>
      <c r="AZ687" s="171"/>
      <c r="BA687" s="171"/>
      <c r="BB687" s="171"/>
      <c r="BC687" s="171"/>
      <c r="BD687" s="171"/>
      <c r="BE687" s="171"/>
      <c r="BF687" s="171"/>
      <c r="BG687" s="171"/>
      <c r="BH687" s="171"/>
    </row>
    <row r="688" spans="1:60" outlineLevel="3" x14ac:dyDescent="0.2">
      <c r="A688" s="172"/>
      <c r="B688" s="173"/>
      <c r="C688" s="174" t="s">
        <v>668</v>
      </c>
      <c r="D688" s="175"/>
      <c r="E688" s="176">
        <v>9.7050000000000001</v>
      </c>
      <c r="F688" s="196"/>
      <c r="G688" s="169"/>
      <c r="H688" s="169"/>
      <c r="I688" s="169"/>
      <c r="J688" s="169"/>
      <c r="K688" s="169"/>
      <c r="L688" s="169"/>
      <c r="M688" s="169"/>
      <c r="N688" s="170"/>
      <c r="O688" s="170"/>
      <c r="P688" s="170"/>
      <c r="Q688" s="170"/>
      <c r="R688" s="169"/>
      <c r="S688" s="169"/>
      <c r="T688" s="169"/>
      <c r="U688" s="169"/>
      <c r="V688" s="169"/>
      <c r="W688" s="169"/>
      <c r="X688" s="169"/>
      <c r="Y688" s="169"/>
      <c r="Z688" s="171"/>
      <c r="AA688" s="171"/>
      <c r="AB688" s="171"/>
      <c r="AC688" s="171"/>
      <c r="AD688" s="171"/>
      <c r="AE688" s="171"/>
      <c r="AF688" s="171"/>
      <c r="AG688" s="171" t="s">
        <v>148</v>
      </c>
      <c r="AH688" s="171">
        <v>0</v>
      </c>
      <c r="AI688" s="171"/>
      <c r="AJ688" s="171"/>
      <c r="AK688" s="171"/>
      <c r="AL688" s="171"/>
      <c r="AM688" s="171"/>
      <c r="AN688" s="171"/>
      <c r="AO688" s="171"/>
      <c r="AP688" s="171"/>
      <c r="AQ688" s="171"/>
      <c r="AR688" s="171"/>
      <c r="AS688" s="171"/>
      <c r="AT688" s="171"/>
      <c r="AU688" s="171"/>
      <c r="AV688" s="171"/>
      <c r="AW688" s="171"/>
      <c r="AX688" s="171"/>
      <c r="AY688" s="171"/>
      <c r="AZ688" s="171"/>
      <c r="BA688" s="171"/>
      <c r="BB688" s="171"/>
      <c r="BC688" s="171"/>
      <c r="BD688" s="171"/>
      <c r="BE688" s="171"/>
      <c r="BF688" s="171"/>
      <c r="BG688" s="171"/>
      <c r="BH688" s="171"/>
    </row>
    <row r="689" spans="1:60" outlineLevel="3" x14ac:dyDescent="0.2">
      <c r="A689" s="172"/>
      <c r="B689" s="173"/>
      <c r="C689" s="174" t="s">
        <v>669</v>
      </c>
      <c r="D689" s="175"/>
      <c r="E689" s="176">
        <v>10.695</v>
      </c>
      <c r="F689" s="196"/>
      <c r="G689" s="169"/>
      <c r="H689" s="169"/>
      <c r="I689" s="169"/>
      <c r="J689" s="169"/>
      <c r="K689" s="169"/>
      <c r="L689" s="169"/>
      <c r="M689" s="169"/>
      <c r="N689" s="170"/>
      <c r="O689" s="170"/>
      <c r="P689" s="170"/>
      <c r="Q689" s="170"/>
      <c r="R689" s="169"/>
      <c r="S689" s="169"/>
      <c r="T689" s="169"/>
      <c r="U689" s="169"/>
      <c r="V689" s="169"/>
      <c r="W689" s="169"/>
      <c r="X689" s="169"/>
      <c r="Y689" s="169"/>
      <c r="Z689" s="171"/>
      <c r="AA689" s="171"/>
      <c r="AB689" s="171"/>
      <c r="AC689" s="171"/>
      <c r="AD689" s="171"/>
      <c r="AE689" s="171"/>
      <c r="AF689" s="171"/>
      <c r="AG689" s="171" t="s">
        <v>148</v>
      </c>
      <c r="AH689" s="171">
        <v>0</v>
      </c>
      <c r="AI689" s="171"/>
      <c r="AJ689" s="171"/>
      <c r="AK689" s="171"/>
      <c r="AL689" s="171"/>
      <c r="AM689" s="171"/>
      <c r="AN689" s="171"/>
      <c r="AO689" s="171"/>
      <c r="AP689" s="171"/>
      <c r="AQ689" s="171"/>
      <c r="AR689" s="171"/>
      <c r="AS689" s="171"/>
      <c r="AT689" s="171"/>
      <c r="AU689" s="171"/>
      <c r="AV689" s="171"/>
      <c r="AW689" s="171"/>
      <c r="AX689" s="171"/>
      <c r="AY689" s="171"/>
      <c r="AZ689" s="171"/>
      <c r="BA689" s="171"/>
      <c r="BB689" s="171"/>
      <c r="BC689" s="171"/>
      <c r="BD689" s="171"/>
      <c r="BE689" s="171"/>
      <c r="BF689" s="171"/>
      <c r="BG689" s="171"/>
      <c r="BH689" s="171"/>
    </row>
    <row r="690" spans="1:60" outlineLevel="3" x14ac:dyDescent="0.2">
      <c r="A690" s="172"/>
      <c r="B690" s="173"/>
      <c r="C690" s="174" t="s">
        <v>670</v>
      </c>
      <c r="D690" s="175"/>
      <c r="E690" s="176">
        <v>7.9050000000000002</v>
      </c>
      <c r="F690" s="196"/>
      <c r="G690" s="169"/>
      <c r="H690" s="169"/>
      <c r="I690" s="169"/>
      <c r="J690" s="169"/>
      <c r="K690" s="169"/>
      <c r="L690" s="169"/>
      <c r="M690" s="169"/>
      <c r="N690" s="170"/>
      <c r="O690" s="170"/>
      <c r="P690" s="170"/>
      <c r="Q690" s="170"/>
      <c r="R690" s="169"/>
      <c r="S690" s="169"/>
      <c r="T690" s="169"/>
      <c r="U690" s="169"/>
      <c r="V690" s="169"/>
      <c r="W690" s="169"/>
      <c r="X690" s="169"/>
      <c r="Y690" s="169"/>
      <c r="Z690" s="171"/>
      <c r="AA690" s="171"/>
      <c r="AB690" s="171"/>
      <c r="AC690" s="171"/>
      <c r="AD690" s="171"/>
      <c r="AE690" s="171"/>
      <c r="AF690" s="171"/>
      <c r="AG690" s="171" t="s">
        <v>148</v>
      </c>
      <c r="AH690" s="171">
        <v>0</v>
      </c>
      <c r="AI690" s="171"/>
      <c r="AJ690" s="171"/>
      <c r="AK690" s="171"/>
      <c r="AL690" s="171"/>
      <c r="AM690" s="171"/>
      <c r="AN690" s="171"/>
      <c r="AO690" s="171"/>
      <c r="AP690" s="171"/>
      <c r="AQ690" s="171"/>
      <c r="AR690" s="171"/>
      <c r="AS690" s="171"/>
      <c r="AT690" s="171"/>
      <c r="AU690" s="171"/>
      <c r="AV690" s="171"/>
      <c r="AW690" s="171"/>
      <c r="AX690" s="171"/>
      <c r="AY690" s="171"/>
      <c r="AZ690" s="171"/>
      <c r="BA690" s="171"/>
      <c r="BB690" s="171"/>
      <c r="BC690" s="171"/>
      <c r="BD690" s="171"/>
      <c r="BE690" s="171"/>
      <c r="BF690" s="171"/>
      <c r="BG690" s="171"/>
      <c r="BH690" s="171"/>
    </row>
    <row r="691" spans="1:60" outlineLevel="3" x14ac:dyDescent="0.2">
      <c r="A691" s="172"/>
      <c r="B691" s="173"/>
      <c r="C691" s="174" t="s">
        <v>671</v>
      </c>
      <c r="D691" s="175"/>
      <c r="E691" s="176">
        <v>1.8</v>
      </c>
      <c r="F691" s="196"/>
      <c r="G691" s="169"/>
      <c r="H691" s="169"/>
      <c r="I691" s="169"/>
      <c r="J691" s="169"/>
      <c r="K691" s="169"/>
      <c r="L691" s="169"/>
      <c r="M691" s="169"/>
      <c r="N691" s="170"/>
      <c r="O691" s="170"/>
      <c r="P691" s="170"/>
      <c r="Q691" s="170"/>
      <c r="R691" s="169"/>
      <c r="S691" s="169"/>
      <c r="T691" s="169"/>
      <c r="U691" s="169"/>
      <c r="V691" s="169"/>
      <c r="W691" s="169"/>
      <c r="X691" s="169"/>
      <c r="Y691" s="169"/>
      <c r="Z691" s="171"/>
      <c r="AA691" s="171"/>
      <c r="AB691" s="171"/>
      <c r="AC691" s="171"/>
      <c r="AD691" s="171"/>
      <c r="AE691" s="171"/>
      <c r="AF691" s="171"/>
      <c r="AG691" s="171" t="s">
        <v>148</v>
      </c>
      <c r="AH691" s="171">
        <v>0</v>
      </c>
      <c r="AI691" s="171"/>
      <c r="AJ691" s="171"/>
      <c r="AK691" s="171"/>
      <c r="AL691" s="171"/>
      <c r="AM691" s="171"/>
      <c r="AN691" s="171"/>
      <c r="AO691" s="171"/>
      <c r="AP691" s="171"/>
      <c r="AQ691" s="171"/>
      <c r="AR691" s="171"/>
      <c r="AS691" s="171"/>
      <c r="AT691" s="171"/>
      <c r="AU691" s="171"/>
      <c r="AV691" s="171"/>
      <c r="AW691" s="171"/>
      <c r="AX691" s="171"/>
      <c r="AY691" s="171"/>
      <c r="AZ691" s="171"/>
      <c r="BA691" s="171"/>
      <c r="BB691" s="171"/>
      <c r="BC691" s="171"/>
      <c r="BD691" s="171"/>
      <c r="BE691" s="171"/>
      <c r="BF691" s="171"/>
      <c r="BG691" s="171"/>
      <c r="BH691" s="171"/>
    </row>
    <row r="692" spans="1:60" outlineLevel="3" x14ac:dyDescent="0.2">
      <c r="A692" s="172"/>
      <c r="B692" s="173"/>
      <c r="C692" s="174" t="s">
        <v>151</v>
      </c>
      <c r="D692" s="175"/>
      <c r="E692" s="176"/>
      <c r="F692" s="196"/>
      <c r="G692" s="169"/>
      <c r="H692" s="169"/>
      <c r="I692" s="169"/>
      <c r="J692" s="169"/>
      <c r="K692" s="169"/>
      <c r="L692" s="169"/>
      <c r="M692" s="169"/>
      <c r="N692" s="170"/>
      <c r="O692" s="170"/>
      <c r="P692" s="170"/>
      <c r="Q692" s="170"/>
      <c r="R692" s="169"/>
      <c r="S692" s="169"/>
      <c r="T692" s="169"/>
      <c r="U692" s="169"/>
      <c r="V692" s="169"/>
      <c r="W692" s="169"/>
      <c r="X692" s="169"/>
      <c r="Y692" s="169"/>
      <c r="Z692" s="171"/>
      <c r="AA692" s="171"/>
      <c r="AB692" s="171"/>
      <c r="AC692" s="171"/>
      <c r="AD692" s="171"/>
      <c r="AE692" s="171"/>
      <c r="AF692" s="171"/>
      <c r="AG692" s="171" t="s">
        <v>148</v>
      </c>
      <c r="AH692" s="171">
        <v>0</v>
      </c>
      <c r="AI692" s="171"/>
      <c r="AJ692" s="171"/>
      <c r="AK692" s="171"/>
      <c r="AL692" s="171"/>
      <c r="AM692" s="171"/>
      <c r="AN692" s="171"/>
      <c r="AO692" s="171"/>
      <c r="AP692" s="171"/>
      <c r="AQ692" s="171"/>
      <c r="AR692" s="171"/>
      <c r="AS692" s="171"/>
      <c r="AT692" s="171"/>
      <c r="AU692" s="171"/>
      <c r="AV692" s="171"/>
      <c r="AW692" s="171"/>
      <c r="AX692" s="171"/>
      <c r="AY692" s="171"/>
      <c r="AZ692" s="171"/>
      <c r="BA692" s="171"/>
      <c r="BB692" s="171"/>
      <c r="BC692" s="171"/>
      <c r="BD692" s="171"/>
      <c r="BE692" s="171"/>
      <c r="BF692" s="171"/>
      <c r="BG692" s="171"/>
      <c r="BH692" s="171"/>
    </row>
    <row r="693" spans="1:60" outlineLevel="3" x14ac:dyDescent="0.2">
      <c r="A693" s="172"/>
      <c r="B693" s="173"/>
      <c r="C693" s="174" t="s">
        <v>672</v>
      </c>
      <c r="D693" s="175"/>
      <c r="E693" s="176">
        <v>11.04</v>
      </c>
      <c r="F693" s="196"/>
      <c r="G693" s="169"/>
      <c r="H693" s="169"/>
      <c r="I693" s="169"/>
      <c r="J693" s="169"/>
      <c r="K693" s="169"/>
      <c r="L693" s="169"/>
      <c r="M693" s="169"/>
      <c r="N693" s="170"/>
      <c r="O693" s="170"/>
      <c r="P693" s="170"/>
      <c r="Q693" s="170"/>
      <c r="R693" s="169"/>
      <c r="S693" s="169"/>
      <c r="T693" s="169"/>
      <c r="U693" s="169"/>
      <c r="V693" s="169"/>
      <c r="W693" s="169"/>
      <c r="X693" s="169"/>
      <c r="Y693" s="169"/>
      <c r="Z693" s="171"/>
      <c r="AA693" s="171"/>
      <c r="AB693" s="171"/>
      <c r="AC693" s="171"/>
      <c r="AD693" s="171"/>
      <c r="AE693" s="171"/>
      <c r="AF693" s="171"/>
      <c r="AG693" s="171" t="s">
        <v>148</v>
      </c>
      <c r="AH693" s="171">
        <v>0</v>
      </c>
      <c r="AI693" s="171"/>
      <c r="AJ693" s="171"/>
      <c r="AK693" s="171"/>
      <c r="AL693" s="171"/>
      <c r="AM693" s="171"/>
      <c r="AN693" s="171"/>
      <c r="AO693" s="171"/>
      <c r="AP693" s="171"/>
      <c r="AQ693" s="171"/>
      <c r="AR693" s="171"/>
      <c r="AS693" s="171"/>
      <c r="AT693" s="171"/>
      <c r="AU693" s="171"/>
      <c r="AV693" s="171"/>
      <c r="AW693" s="171"/>
      <c r="AX693" s="171"/>
      <c r="AY693" s="171"/>
      <c r="AZ693" s="171"/>
      <c r="BA693" s="171"/>
      <c r="BB693" s="171"/>
      <c r="BC693" s="171"/>
      <c r="BD693" s="171"/>
      <c r="BE693" s="171"/>
      <c r="BF693" s="171"/>
      <c r="BG693" s="171"/>
      <c r="BH693" s="171"/>
    </row>
    <row r="694" spans="1:60" outlineLevel="3" x14ac:dyDescent="0.2">
      <c r="A694" s="172"/>
      <c r="B694" s="173"/>
      <c r="C694" s="174" t="s">
        <v>668</v>
      </c>
      <c r="D694" s="175"/>
      <c r="E694" s="176">
        <v>9.7050000000000001</v>
      </c>
      <c r="F694" s="196"/>
      <c r="G694" s="169"/>
      <c r="H694" s="169"/>
      <c r="I694" s="169"/>
      <c r="J694" s="169"/>
      <c r="K694" s="169"/>
      <c r="L694" s="169"/>
      <c r="M694" s="169"/>
      <c r="N694" s="170"/>
      <c r="O694" s="170"/>
      <c r="P694" s="170"/>
      <c r="Q694" s="170"/>
      <c r="R694" s="169"/>
      <c r="S694" s="169"/>
      <c r="T694" s="169"/>
      <c r="U694" s="169"/>
      <c r="V694" s="169"/>
      <c r="W694" s="169"/>
      <c r="X694" s="169"/>
      <c r="Y694" s="169"/>
      <c r="Z694" s="171"/>
      <c r="AA694" s="171"/>
      <c r="AB694" s="171"/>
      <c r="AC694" s="171"/>
      <c r="AD694" s="171"/>
      <c r="AE694" s="171"/>
      <c r="AF694" s="171"/>
      <c r="AG694" s="171" t="s">
        <v>148</v>
      </c>
      <c r="AH694" s="171">
        <v>0</v>
      </c>
      <c r="AI694" s="171"/>
      <c r="AJ694" s="171"/>
      <c r="AK694" s="171"/>
      <c r="AL694" s="171"/>
      <c r="AM694" s="171"/>
      <c r="AN694" s="171"/>
      <c r="AO694" s="171"/>
      <c r="AP694" s="171"/>
      <c r="AQ694" s="171"/>
      <c r="AR694" s="171"/>
      <c r="AS694" s="171"/>
      <c r="AT694" s="171"/>
      <c r="AU694" s="171"/>
      <c r="AV694" s="171"/>
      <c r="AW694" s="171"/>
      <c r="AX694" s="171"/>
      <c r="AY694" s="171"/>
      <c r="AZ694" s="171"/>
      <c r="BA694" s="171"/>
      <c r="BB694" s="171"/>
      <c r="BC694" s="171"/>
      <c r="BD694" s="171"/>
      <c r="BE694" s="171"/>
      <c r="BF694" s="171"/>
      <c r="BG694" s="171"/>
      <c r="BH694" s="171"/>
    </row>
    <row r="695" spans="1:60" outlineLevel="3" x14ac:dyDescent="0.2">
      <c r="A695" s="172"/>
      <c r="B695" s="173"/>
      <c r="C695" s="174" t="s">
        <v>673</v>
      </c>
      <c r="D695" s="175"/>
      <c r="E695" s="176">
        <v>10.32</v>
      </c>
      <c r="F695" s="196"/>
      <c r="G695" s="169"/>
      <c r="H695" s="169"/>
      <c r="I695" s="169"/>
      <c r="J695" s="169"/>
      <c r="K695" s="169"/>
      <c r="L695" s="169"/>
      <c r="M695" s="169"/>
      <c r="N695" s="170"/>
      <c r="O695" s="170"/>
      <c r="P695" s="170"/>
      <c r="Q695" s="170"/>
      <c r="R695" s="169"/>
      <c r="S695" s="169"/>
      <c r="T695" s="169"/>
      <c r="U695" s="169"/>
      <c r="V695" s="169"/>
      <c r="W695" s="169"/>
      <c r="X695" s="169"/>
      <c r="Y695" s="169"/>
      <c r="Z695" s="171"/>
      <c r="AA695" s="171"/>
      <c r="AB695" s="171"/>
      <c r="AC695" s="171"/>
      <c r="AD695" s="171"/>
      <c r="AE695" s="171"/>
      <c r="AF695" s="171"/>
      <c r="AG695" s="171" t="s">
        <v>148</v>
      </c>
      <c r="AH695" s="171">
        <v>0</v>
      </c>
      <c r="AI695" s="171"/>
      <c r="AJ695" s="171"/>
      <c r="AK695" s="171"/>
      <c r="AL695" s="171"/>
      <c r="AM695" s="171"/>
      <c r="AN695" s="171"/>
      <c r="AO695" s="171"/>
      <c r="AP695" s="171"/>
      <c r="AQ695" s="171"/>
      <c r="AR695" s="171"/>
      <c r="AS695" s="171"/>
      <c r="AT695" s="171"/>
      <c r="AU695" s="171"/>
      <c r="AV695" s="171"/>
      <c r="AW695" s="171"/>
      <c r="AX695" s="171"/>
      <c r="AY695" s="171"/>
      <c r="AZ695" s="171"/>
      <c r="BA695" s="171"/>
      <c r="BB695" s="171"/>
      <c r="BC695" s="171"/>
      <c r="BD695" s="171"/>
      <c r="BE695" s="171"/>
      <c r="BF695" s="171"/>
      <c r="BG695" s="171"/>
      <c r="BH695" s="171"/>
    </row>
    <row r="696" spans="1:60" outlineLevel="3" x14ac:dyDescent="0.2">
      <c r="A696" s="172"/>
      <c r="B696" s="173"/>
      <c r="C696" s="174" t="s">
        <v>674</v>
      </c>
      <c r="D696" s="175"/>
      <c r="E696" s="176">
        <v>7.9349999999999996</v>
      </c>
      <c r="F696" s="196"/>
      <c r="G696" s="169"/>
      <c r="H696" s="169"/>
      <c r="I696" s="169"/>
      <c r="J696" s="169"/>
      <c r="K696" s="169"/>
      <c r="L696" s="169"/>
      <c r="M696" s="169"/>
      <c r="N696" s="170"/>
      <c r="O696" s="170"/>
      <c r="P696" s="170"/>
      <c r="Q696" s="170"/>
      <c r="R696" s="169"/>
      <c r="S696" s="169"/>
      <c r="T696" s="169"/>
      <c r="U696" s="169"/>
      <c r="V696" s="169"/>
      <c r="W696" s="169"/>
      <c r="X696" s="169"/>
      <c r="Y696" s="169"/>
      <c r="Z696" s="171"/>
      <c r="AA696" s="171"/>
      <c r="AB696" s="171"/>
      <c r="AC696" s="171"/>
      <c r="AD696" s="171"/>
      <c r="AE696" s="171"/>
      <c r="AF696" s="171"/>
      <c r="AG696" s="171" t="s">
        <v>148</v>
      </c>
      <c r="AH696" s="171">
        <v>0</v>
      </c>
      <c r="AI696" s="171"/>
      <c r="AJ696" s="171"/>
      <c r="AK696" s="171"/>
      <c r="AL696" s="171"/>
      <c r="AM696" s="171"/>
      <c r="AN696" s="171"/>
      <c r="AO696" s="171"/>
      <c r="AP696" s="171"/>
      <c r="AQ696" s="171"/>
      <c r="AR696" s="171"/>
      <c r="AS696" s="171"/>
      <c r="AT696" s="171"/>
      <c r="AU696" s="171"/>
      <c r="AV696" s="171"/>
      <c r="AW696" s="171"/>
      <c r="AX696" s="171"/>
      <c r="AY696" s="171"/>
      <c r="AZ696" s="171"/>
      <c r="BA696" s="171"/>
      <c r="BB696" s="171"/>
      <c r="BC696" s="171"/>
      <c r="BD696" s="171"/>
      <c r="BE696" s="171"/>
      <c r="BF696" s="171"/>
      <c r="BG696" s="171"/>
      <c r="BH696" s="171"/>
    </row>
    <row r="697" spans="1:60" outlineLevel="3" x14ac:dyDescent="0.2">
      <c r="A697" s="172"/>
      <c r="B697" s="173"/>
      <c r="C697" s="174" t="s">
        <v>675</v>
      </c>
      <c r="D697" s="175"/>
      <c r="E697" s="176">
        <v>2.085</v>
      </c>
      <c r="F697" s="196"/>
      <c r="G697" s="169"/>
      <c r="H697" s="169"/>
      <c r="I697" s="169"/>
      <c r="J697" s="169"/>
      <c r="K697" s="169"/>
      <c r="L697" s="169"/>
      <c r="M697" s="169"/>
      <c r="N697" s="170"/>
      <c r="O697" s="170"/>
      <c r="P697" s="170"/>
      <c r="Q697" s="170"/>
      <c r="R697" s="169"/>
      <c r="S697" s="169"/>
      <c r="T697" s="169"/>
      <c r="U697" s="169"/>
      <c r="V697" s="169"/>
      <c r="W697" s="169"/>
      <c r="X697" s="169"/>
      <c r="Y697" s="169"/>
      <c r="Z697" s="171"/>
      <c r="AA697" s="171"/>
      <c r="AB697" s="171"/>
      <c r="AC697" s="171"/>
      <c r="AD697" s="171"/>
      <c r="AE697" s="171"/>
      <c r="AF697" s="171"/>
      <c r="AG697" s="171" t="s">
        <v>148</v>
      </c>
      <c r="AH697" s="171">
        <v>0</v>
      </c>
      <c r="AI697" s="171"/>
      <c r="AJ697" s="171"/>
      <c r="AK697" s="171"/>
      <c r="AL697" s="171"/>
      <c r="AM697" s="171"/>
      <c r="AN697" s="171"/>
      <c r="AO697" s="171"/>
      <c r="AP697" s="171"/>
      <c r="AQ697" s="171"/>
      <c r="AR697" s="171"/>
      <c r="AS697" s="171"/>
      <c r="AT697" s="171"/>
      <c r="AU697" s="171"/>
      <c r="AV697" s="171"/>
      <c r="AW697" s="171"/>
      <c r="AX697" s="171"/>
      <c r="AY697" s="171"/>
      <c r="AZ697" s="171"/>
      <c r="BA697" s="171"/>
      <c r="BB697" s="171"/>
      <c r="BC697" s="171"/>
      <c r="BD697" s="171"/>
      <c r="BE697" s="171"/>
      <c r="BF697" s="171"/>
      <c r="BG697" s="171"/>
      <c r="BH697" s="171"/>
    </row>
    <row r="698" spans="1:60" outlineLevel="3" x14ac:dyDescent="0.2">
      <c r="A698" s="172"/>
      <c r="B698" s="173"/>
      <c r="C698" s="174" t="s">
        <v>152</v>
      </c>
      <c r="D698" s="175"/>
      <c r="E698" s="176"/>
      <c r="F698" s="196"/>
      <c r="G698" s="169"/>
      <c r="H698" s="169"/>
      <c r="I698" s="169"/>
      <c r="J698" s="169"/>
      <c r="K698" s="169"/>
      <c r="L698" s="169"/>
      <c r="M698" s="169"/>
      <c r="N698" s="170"/>
      <c r="O698" s="170"/>
      <c r="P698" s="170"/>
      <c r="Q698" s="170"/>
      <c r="R698" s="169"/>
      <c r="S698" s="169"/>
      <c r="T698" s="169"/>
      <c r="U698" s="169"/>
      <c r="V698" s="169"/>
      <c r="W698" s="169"/>
      <c r="X698" s="169"/>
      <c r="Y698" s="169"/>
      <c r="Z698" s="171"/>
      <c r="AA698" s="171"/>
      <c r="AB698" s="171"/>
      <c r="AC698" s="171"/>
      <c r="AD698" s="171"/>
      <c r="AE698" s="171"/>
      <c r="AF698" s="171"/>
      <c r="AG698" s="171" t="s">
        <v>148</v>
      </c>
      <c r="AH698" s="171">
        <v>0</v>
      </c>
      <c r="AI698" s="171"/>
      <c r="AJ698" s="171"/>
      <c r="AK698" s="171"/>
      <c r="AL698" s="171"/>
      <c r="AM698" s="171"/>
      <c r="AN698" s="171"/>
      <c r="AO698" s="171"/>
      <c r="AP698" s="171"/>
      <c r="AQ698" s="171"/>
      <c r="AR698" s="171"/>
      <c r="AS698" s="171"/>
      <c r="AT698" s="171"/>
      <c r="AU698" s="171"/>
      <c r="AV698" s="171"/>
      <c r="AW698" s="171"/>
      <c r="AX698" s="171"/>
      <c r="AY698" s="171"/>
      <c r="AZ698" s="171"/>
      <c r="BA698" s="171"/>
      <c r="BB698" s="171"/>
      <c r="BC698" s="171"/>
      <c r="BD698" s="171"/>
      <c r="BE698" s="171"/>
      <c r="BF698" s="171"/>
      <c r="BG698" s="171"/>
      <c r="BH698" s="171"/>
    </row>
    <row r="699" spans="1:60" outlineLevel="3" x14ac:dyDescent="0.2">
      <c r="A699" s="172"/>
      <c r="B699" s="173"/>
      <c r="C699" s="174" t="s">
        <v>672</v>
      </c>
      <c r="D699" s="175"/>
      <c r="E699" s="176">
        <v>11.04</v>
      </c>
      <c r="F699" s="196"/>
      <c r="G699" s="169"/>
      <c r="H699" s="169"/>
      <c r="I699" s="169"/>
      <c r="J699" s="169"/>
      <c r="K699" s="169"/>
      <c r="L699" s="169"/>
      <c r="M699" s="169"/>
      <c r="N699" s="170"/>
      <c r="O699" s="170"/>
      <c r="P699" s="170"/>
      <c r="Q699" s="170"/>
      <c r="R699" s="169"/>
      <c r="S699" s="169"/>
      <c r="T699" s="169"/>
      <c r="U699" s="169"/>
      <c r="V699" s="169"/>
      <c r="W699" s="169"/>
      <c r="X699" s="169"/>
      <c r="Y699" s="169"/>
      <c r="Z699" s="171"/>
      <c r="AA699" s="171"/>
      <c r="AB699" s="171"/>
      <c r="AC699" s="171"/>
      <c r="AD699" s="171"/>
      <c r="AE699" s="171"/>
      <c r="AF699" s="171"/>
      <c r="AG699" s="171" t="s">
        <v>148</v>
      </c>
      <c r="AH699" s="171">
        <v>0</v>
      </c>
      <c r="AI699" s="171"/>
      <c r="AJ699" s="171"/>
      <c r="AK699" s="171"/>
      <c r="AL699" s="171"/>
      <c r="AM699" s="171"/>
      <c r="AN699" s="171"/>
      <c r="AO699" s="171"/>
      <c r="AP699" s="171"/>
      <c r="AQ699" s="171"/>
      <c r="AR699" s="171"/>
      <c r="AS699" s="171"/>
      <c r="AT699" s="171"/>
      <c r="AU699" s="171"/>
      <c r="AV699" s="171"/>
      <c r="AW699" s="171"/>
      <c r="AX699" s="171"/>
      <c r="AY699" s="171"/>
      <c r="AZ699" s="171"/>
      <c r="BA699" s="171"/>
      <c r="BB699" s="171"/>
      <c r="BC699" s="171"/>
      <c r="BD699" s="171"/>
      <c r="BE699" s="171"/>
      <c r="BF699" s="171"/>
      <c r="BG699" s="171"/>
      <c r="BH699" s="171"/>
    </row>
    <row r="700" spans="1:60" outlineLevel="3" x14ac:dyDescent="0.2">
      <c r="A700" s="172"/>
      <c r="B700" s="173"/>
      <c r="C700" s="174" t="s">
        <v>676</v>
      </c>
      <c r="D700" s="175"/>
      <c r="E700" s="176">
        <v>9.7349999999999994</v>
      </c>
      <c r="F700" s="196"/>
      <c r="G700" s="169"/>
      <c r="H700" s="169"/>
      <c r="I700" s="169"/>
      <c r="J700" s="169"/>
      <c r="K700" s="169"/>
      <c r="L700" s="169"/>
      <c r="M700" s="169"/>
      <c r="N700" s="170"/>
      <c r="O700" s="170"/>
      <c r="P700" s="170"/>
      <c r="Q700" s="170"/>
      <c r="R700" s="169"/>
      <c r="S700" s="169"/>
      <c r="T700" s="169"/>
      <c r="U700" s="169"/>
      <c r="V700" s="169"/>
      <c r="W700" s="169"/>
      <c r="X700" s="169"/>
      <c r="Y700" s="169"/>
      <c r="Z700" s="171"/>
      <c r="AA700" s="171"/>
      <c r="AB700" s="171"/>
      <c r="AC700" s="171"/>
      <c r="AD700" s="171"/>
      <c r="AE700" s="171"/>
      <c r="AF700" s="171"/>
      <c r="AG700" s="171" t="s">
        <v>148</v>
      </c>
      <c r="AH700" s="171">
        <v>0</v>
      </c>
      <c r="AI700" s="171"/>
      <c r="AJ700" s="171"/>
      <c r="AK700" s="171"/>
      <c r="AL700" s="171"/>
      <c r="AM700" s="171"/>
      <c r="AN700" s="171"/>
      <c r="AO700" s="171"/>
      <c r="AP700" s="171"/>
      <c r="AQ700" s="171"/>
      <c r="AR700" s="171"/>
      <c r="AS700" s="171"/>
      <c r="AT700" s="171"/>
      <c r="AU700" s="171"/>
      <c r="AV700" s="171"/>
      <c r="AW700" s="171"/>
      <c r="AX700" s="171"/>
      <c r="AY700" s="171"/>
      <c r="AZ700" s="171"/>
      <c r="BA700" s="171"/>
      <c r="BB700" s="171"/>
      <c r="BC700" s="171"/>
      <c r="BD700" s="171"/>
      <c r="BE700" s="171"/>
      <c r="BF700" s="171"/>
      <c r="BG700" s="171"/>
      <c r="BH700" s="171"/>
    </row>
    <row r="701" spans="1:60" outlineLevel="3" x14ac:dyDescent="0.2">
      <c r="A701" s="172"/>
      <c r="B701" s="173"/>
      <c r="C701" s="174" t="s">
        <v>677</v>
      </c>
      <c r="D701" s="175"/>
      <c r="E701" s="176">
        <v>10.005000000000001</v>
      </c>
      <c r="F701" s="196"/>
      <c r="G701" s="169"/>
      <c r="H701" s="169"/>
      <c r="I701" s="169"/>
      <c r="J701" s="169"/>
      <c r="K701" s="169"/>
      <c r="L701" s="169"/>
      <c r="M701" s="169"/>
      <c r="N701" s="170"/>
      <c r="O701" s="170"/>
      <c r="P701" s="170"/>
      <c r="Q701" s="170"/>
      <c r="R701" s="169"/>
      <c r="S701" s="169"/>
      <c r="T701" s="169"/>
      <c r="U701" s="169"/>
      <c r="V701" s="169"/>
      <c r="W701" s="169"/>
      <c r="X701" s="169"/>
      <c r="Y701" s="169"/>
      <c r="Z701" s="171"/>
      <c r="AA701" s="171"/>
      <c r="AB701" s="171"/>
      <c r="AC701" s="171"/>
      <c r="AD701" s="171"/>
      <c r="AE701" s="171"/>
      <c r="AF701" s="171"/>
      <c r="AG701" s="171" t="s">
        <v>148</v>
      </c>
      <c r="AH701" s="171">
        <v>0</v>
      </c>
      <c r="AI701" s="171"/>
      <c r="AJ701" s="171"/>
      <c r="AK701" s="171"/>
      <c r="AL701" s="171"/>
      <c r="AM701" s="171"/>
      <c r="AN701" s="171"/>
      <c r="AO701" s="171"/>
      <c r="AP701" s="171"/>
      <c r="AQ701" s="171"/>
      <c r="AR701" s="171"/>
      <c r="AS701" s="171"/>
      <c r="AT701" s="171"/>
      <c r="AU701" s="171"/>
      <c r="AV701" s="171"/>
      <c r="AW701" s="171"/>
      <c r="AX701" s="171"/>
      <c r="AY701" s="171"/>
      <c r="AZ701" s="171"/>
      <c r="BA701" s="171"/>
      <c r="BB701" s="171"/>
      <c r="BC701" s="171"/>
      <c r="BD701" s="171"/>
      <c r="BE701" s="171"/>
      <c r="BF701" s="171"/>
      <c r="BG701" s="171"/>
      <c r="BH701" s="171"/>
    </row>
    <row r="702" spans="1:60" outlineLevel="3" x14ac:dyDescent="0.2">
      <c r="A702" s="172"/>
      <c r="B702" s="173"/>
      <c r="C702" s="174" t="s">
        <v>678</v>
      </c>
      <c r="D702" s="175"/>
      <c r="E702" s="176">
        <v>8.0250000000000004</v>
      </c>
      <c r="F702" s="196"/>
      <c r="G702" s="169"/>
      <c r="H702" s="169"/>
      <c r="I702" s="169"/>
      <c r="J702" s="169"/>
      <c r="K702" s="169"/>
      <c r="L702" s="169"/>
      <c r="M702" s="169"/>
      <c r="N702" s="170"/>
      <c r="O702" s="170"/>
      <c r="P702" s="170"/>
      <c r="Q702" s="170"/>
      <c r="R702" s="169"/>
      <c r="S702" s="169"/>
      <c r="T702" s="169"/>
      <c r="U702" s="169"/>
      <c r="V702" s="169"/>
      <c r="W702" s="169"/>
      <c r="X702" s="169"/>
      <c r="Y702" s="169"/>
      <c r="Z702" s="171"/>
      <c r="AA702" s="171"/>
      <c r="AB702" s="171"/>
      <c r="AC702" s="171"/>
      <c r="AD702" s="171"/>
      <c r="AE702" s="171"/>
      <c r="AF702" s="171"/>
      <c r="AG702" s="171" t="s">
        <v>148</v>
      </c>
      <c r="AH702" s="171">
        <v>0</v>
      </c>
      <c r="AI702" s="171"/>
      <c r="AJ702" s="171"/>
      <c r="AK702" s="171"/>
      <c r="AL702" s="171"/>
      <c r="AM702" s="171"/>
      <c r="AN702" s="171"/>
      <c r="AO702" s="171"/>
      <c r="AP702" s="171"/>
      <c r="AQ702" s="171"/>
      <c r="AR702" s="171"/>
      <c r="AS702" s="171"/>
      <c r="AT702" s="171"/>
      <c r="AU702" s="171"/>
      <c r="AV702" s="171"/>
      <c r="AW702" s="171"/>
      <c r="AX702" s="171"/>
      <c r="AY702" s="171"/>
      <c r="AZ702" s="171"/>
      <c r="BA702" s="171"/>
      <c r="BB702" s="171"/>
      <c r="BC702" s="171"/>
      <c r="BD702" s="171"/>
      <c r="BE702" s="171"/>
      <c r="BF702" s="171"/>
      <c r="BG702" s="171"/>
      <c r="BH702" s="171"/>
    </row>
    <row r="703" spans="1:60" outlineLevel="3" x14ac:dyDescent="0.2">
      <c r="A703" s="172"/>
      <c r="B703" s="173"/>
      <c r="C703" s="174" t="s">
        <v>679</v>
      </c>
      <c r="D703" s="175"/>
      <c r="E703" s="176">
        <v>1.9350000000000001</v>
      </c>
      <c r="F703" s="196"/>
      <c r="G703" s="169"/>
      <c r="H703" s="169"/>
      <c r="I703" s="169"/>
      <c r="J703" s="169"/>
      <c r="K703" s="169"/>
      <c r="L703" s="169"/>
      <c r="M703" s="169"/>
      <c r="N703" s="170"/>
      <c r="O703" s="170"/>
      <c r="P703" s="170"/>
      <c r="Q703" s="170"/>
      <c r="R703" s="169"/>
      <c r="S703" s="169"/>
      <c r="T703" s="169"/>
      <c r="U703" s="169"/>
      <c r="V703" s="169"/>
      <c r="W703" s="169"/>
      <c r="X703" s="169"/>
      <c r="Y703" s="169"/>
      <c r="Z703" s="171"/>
      <c r="AA703" s="171"/>
      <c r="AB703" s="171"/>
      <c r="AC703" s="171"/>
      <c r="AD703" s="171"/>
      <c r="AE703" s="171"/>
      <c r="AF703" s="171"/>
      <c r="AG703" s="171" t="s">
        <v>148</v>
      </c>
      <c r="AH703" s="171">
        <v>0</v>
      </c>
      <c r="AI703" s="171"/>
      <c r="AJ703" s="171"/>
      <c r="AK703" s="171"/>
      <c r="AL703" s="171"/>
      <c r="AM703" s="171"/>
      <c r="AN703" s="171"/>
      <c r="AO703" s="171"/>
      <c r="AP703" s="171"/>
      <c r="AQ703" s="171"/>
      <c r="AR703" s="171"/>
      <c r="AS703" s="171"/>
      <c r="AT703" s="171"/>
      <c r="AU703" s="171"/>
      <c r="AV703" s="171"/>
      <c r="AW703" s="171"/>
      <c r="AX703" s="171"/>
      <c r="AY703" s="171"/>
      <c r="AZ703" s="171"/>
      <c r="BA703" s="171"/>
      <c r="BB703" s="171"/>
      <c r="BC703" s="171"/>
      <c r="BD703" s="171"/>
      <c r="BE703" s="171"/>
      <c r="BF703" s="171"/>
      <c r="BG703" s="171"/>
      <c r="BH703" s="171"/>
    </row>
    <row r="704" spans="1:60" outlineLevel="1" x14ac:dyDescent="0.2">
      <c r="A704" s="162">
        <v>109</v>
      </c>
      <c r="B704" s="163" t="s">
        <v>680</v>
      </c>
      <c r="C704" s="164" t="s">
        <v>681</v>
      </c>
      <c r="D704" s="165" t="s">
        <v>159</v>
      </c>
      <c r="E704" s="166">
        <v>1004.61825</v>
      </c>
      <c r="F704" s="140"/>
      <c r="G704" s="167">
        <f>ROUND(E704*F704,2)</f>
        <v>0</v>
      </c>
      <c r="H704" s="168"/>
      <c r="I704" s="169">
        <f>ROUND(E704*H704,2)</f>
        <v>0</v>
      </c>
      <c r="J704" s="168"/>
      <c r="K704" s="169">
        <f>ROUND(E704*J704,2)</f>
        <v>0</v>
      </c>
      <c r="L704" s="169">
        <v>21</v>
      </c>
      <c r="M704" s="169">
        <f>G704*(1+L704/100)</f>
        <v>0</v>
      </c>
      <c r="N704" s="170">
        <v>6.9999999999999994E-5</v>
      </c>
      <c r="O704" s="170">
        <f>ROUND(E704*N704,2)</f>
        <v>7.0000000000000007E-2</v>
      </c>
      <c r="P704" s="170">
        <v>0</v>
      </c>
      <c r="Q704" s="170">
        <f>ROUND(E704*P704,2)</f>
        <v>0</v>
      </c>
      <c r="R704" s="169"/>
      <c r="S704" s="169" t="s">
        <v>143</v>
      </c>
      <c r="T704" s="169" t="s">
        <v>143</v>
      </c>
      <c r="U704" s="169">
        <v>3.2480000000000002E-2</v>
      </c>
      <c r="V704" s="169">
        <f>ROUND(E704*U704,2)</f>
        <v>32.630000000000003</v>
      </c>
      <c r="W704" s="169"/>
      <c r="X704" s="169" t="s">
        <v>144</v>
      </c>
      <c r="Y704" s="169" t="s">
        <v>145</v>
      </c>
      <c r="Z704" s="171"/>
      <c r="AA704" s="171"/>
      <c r="AB704" s="171"/>
      <c r="AC704" s="171"/>
      <c r="AD704" s="171"/>
      <c r="AE704" s="171"/>
      <c r="AF704" s="171"/>
      <c r="AG704" s="171" t="s">
        <v>146</v>
      </c>
      <c r="AH704" s="171"/>
      <c r="AI704" s="171"/>
      <c r="AJ704" s="171"/>
      <c r="AK704" s="171"/>
      <c r="AL704" s="171"/>
      <c r="AM704" s="171"/>
      <c r="AN704" s="171"/>
      <c r="AO704" s="171"/>
      <c r="AP704" s="171"/>
      <c r="AQ704" s="171"/>
      <c r="AR704" s="171"/>
      <c r="AS704" s="171"/>
      <c r="AT704" s="171"/>
      <c r="AU704" s="171"/>
      <c r="AV704" s="171"/>
      <c r="AW704" s="171"/>
      <c r="AX704" s="171"/>
      <c r="AY704" s="171"/>
      <c r="AZ704" s="171"/>
      <c r="BA704" s="171"/>
      <c r="BB704" s="171"/>
      <c r="BC704" s="171"/>
      <c r="BD704" s="171"/>
      <c r="BE704" s="171"/>
      <c r="BF704" s="171"/>
      <c r="BG704" s="171"/>
      <c r="BH704" s="171"/>
    </row>
    <row r="705" spans="1:60" outlineLevel="2" x14ac:dyDescent="0.2">
      <c r="A705" s="172"/>
      <c r="B705" s="173"/>
      <c r="C705" s="174" t="s">
        <v>682</v>
      </c>
      <c r="D705" s="175"/>
      <c r="E705" s="176"/>
      <c r="F705" s="196"/>
      <c r="G705" s="169"/>
      <c r="H705" s="169"/>
      <c r="I705" s="169"/>
      <c r="J705" s="169"/>
      <c r="K705" s="169"/>
      <c r="L705" s="169"/>
      <c r="M705" s="169"/>
      <c r="N705" s="170"/>
      <c r="O705" s="170"/>
      <c r="P705" s="170"/>
      <c r="Q705" s="170"/>
      <c r="R705" s="169"/>
      <c r="S705" s="169"/>
      <c r="T705" s="169"/>
      <c r="U705" s="169"/>
      <c r="V705" s="169"/>
      <c r="W705" s="169"/>
      <c r="X705" s="169"/>
      <c r="Y705" s="169"/>
      <c r="Z705" s="171"/>
      <c r="AA705" s="171"/>
      <c r="AB705" s="171"/>
      <c r="AC705" s="171"/>
      <c r="AD705" s="171"/>
      <c r="AE705" s="171"/>
      <c r="AF705" s="171"/>
      <c r="AG705" s="171" t="s">
        <v>148</v>
      </c>
      <c r="AH705" s="171">
        <v>0</v>
      </c>
      <c r="AI705" s="171"/>
      <c r="AJ705" s="171"/>
      <c r="AK705" s="171"/>
      <c r="AL705" s="171"/>
      <c r="AM705" s="171"/>
      <c r="AN705" s="171"/>
      <c r="AO705" s="171"/>
      <c r="AP705" s="171"/>
      <c r="AQ705" s="171"/>
      <c r="AR705" s="171"/>
      <c r="AS705" s="171"/>
      <c r="AT705" s="171"/>
      <c r="AU705" s="171"/>
      <c r="AV705" s="171"/>
      <c r="AW705" s="171"/>
      <c r="AX705" s="171"/>
      <c r="AY705" s="171"/>
      <c r="AZ705" s="171"/>
      <c r="BA705" s="171"/>
      <c r="BB705" s="171"/>
      <c r="BC705" s="171"/>
      <c r="BD705" s="171"/>
      <c r="BE705" s="171"/>
      <c r="BF705" s="171"/>
      <c r="BG705" s="171"/>
      <c r="BH705" s="171"/>
    </row>
    <row r="706" spans="1:60" outlineLevel="3" x14ac:dyDescent="0.2">
      <c r="A706" s="172"/>
      <c r="B706" s="173"/>
      <c r="C706" s="174" t="s">
        <v>683</v>
      </c>
      <c r="D706" s="175"/>
      <c r="E706" s="176">
        <v>765.53920000000005</v>
      </c>
      <c r="F706" s="196"/>
      <c r="G706" s="169"/>
      <c r="H706" s="169"/>
      <c r="I706" s="169"/>
      <c r="J706" s="169"/>
      <c r="K706" s="169"/>
      <c r="L706" s="169"/>
      <c r="M706" s="169"/>
      <c r="N706" s="170"/>
      <c r="O706" s="170"/>
      <c r="P706" s="170"/>
      <c r="Q706" s="170"/>
      <c r="R706" s="169"/>
      <c r="S706" s="169"/>
      <c r="T706" s="169"/>
      <c r="U706" s="169"/>
      <c r="V706" s="169"/>
      <c r="W706" s="169"/>
      <c r="X706" s="169"/>
      <c r="Y706" s="169"/>
      <c r="Z706" s="171"/>
      <c r="AA706" s="171"/>
      <c r="AB706" s="171"/>
      <c r="AC706" s="171"/>
      <c r="AD706" s="171"/>
      <c r="AE706" s="171"/>
      <c r="AF706" s="171"/>
      <c r="AG706" s="171" t="s">
        <v>148</v>
      </c>
      <c r="AH706" s="171">
        <v>0</v>
      </c>
      <c r="AI706" s="171"/>
      <c r="AJ706" s="171"/>
      <c r="AK706" s="171"/>
      <c r="AL706" s="171"/>
      <c r="AM706" s="171"/>
      <c r="AN706" s="171"/>
      <c r="AO706" s="171"/>
      <c r="AP706" s="171"/>
      <c r="AQ706" s="171"/>
      <c r="AR706" s="171"/>
      <c r="AS706" s="171"/>
      <c r="AT706" s="171"/>
      <c r="AU706" s="171"/>
      <c r="AV706" s="171"/>
      <c r="AW706" s="171"/>
      <c r="AX706" s="171"/>
      <c r="AY706" s="171"/>
      <c r="AZ706" s="171"/>
      <c r="BA706" s="171"/>
      <c r="BB706" s="171"/>
      <c r="BC706" s="171"/>
      <c r="BD706" s="171"/>
      <c r="BE706" s="171"/>
      <c r="BF706" s="171"/>
      <c r="BG706" s="171"/>
      <c r="BH706" s="171"/>
    </row>
    <row r="707" spans="1:60" outlineLevel="3" x14ac:dyDescent="0.2">
      <c r="A707" s="172"/>
      <c r="B707" s="173"/>
      <c r="C707" s="174" t="s">
        <v>684</v>
      </c>
      <c r="D707" s="175"/>
      <c r="E707" s="176"/>
      <c r="F707" s="196"/>
      <c r="G707" s="169"/>
      <c r="H707" s="169"/>
      <c r="I707" s="169"/>
      <c r="J707" s="169"/>
      <c r="K707" s="169"/>
      <c r="L707" s="169"/>
      <c r="M707" s="169"/>
      <c r="N707" s="170"/>
      <c r="O707" s="170"/>
      <c r="P707" s="170"/>
      <c r="Q707" s="170"/>
      <c r="R707" s="169"/>
      <c r="S707" s="169"/>
      <c r="T707" s="169"/>
      <c r="U707" s="169"/>
      <c r="V707" s="169"/>
      <c r="W707" s="169"/>
      <c r="X707" s="169"/>
      <c r="Y707" s="169"/>
      <c r="Z707" s="171"/>
      <c r="AA707" s="171"/>
      <c r="AB707" s="171"/>
      <c r="AC707" s="171"/>
      <c r="AD707" s="171"/>
      <c r="AE707" s="171"/>
      <c r="AF707" s="171"/>
      <c r="AG707" s="171" t="s">
        <v>148</v>
      </c>
      <c r="AH707" s="171">
        <v>0</v>
      </c>
      <c r="AI707" s="171"/>
      <c r="AJ707" s="171"/>
      <c r="AK707" s="171"/>
      <c r="AL707" s="171"/>
      <c r="AM707" s="171"/>
      <c r="AN707" s="171"/>
      <c r="AO707" s="171"/>
      <c r="AP707" s="171"/>
      <c r="AQ707" s="171"/>
      <c r="AR707" s="171"/>
      <c r="AS707" s="171"/>
      <c r="AT707" s="171"/>
      <c r="AU707" s="171"/>
      <c r="AV707" s="171"/>
      <c r="AW707" s="171"/>
      <c r="AX707" s="171"/>
      <c r="AY707" s="171"/>
      <c r="AZ707" s="171"/>
      <c r="BA707" s="171"/>
      <c r="BB707" s="171"/>
      <c r="BC707" s="171"/>
      <c r="BD707" s="171"/>
      <c r="BE707" s="171"/>
      <c r="BF707" s="171"/>
      <c r="BG707" s="171"/>
      <c r="BH707" s="171"/>
    </row>
    <row r="708" spans="1:60" outlineLevel="3" x14ac:dyDescent="0.2">
      <c r="A708" s="172"/>
      <c r="B708" s="173"/>
      <c r="C708" s="174" t="s">
        <v>685</v>
      </c>
      <c r="D708" s="175"/>
      <c r="E708" s="176">
        <v>66.45</v>
      </c>
      <c r="F708" s="196"/>
      <c r="G708" s="169"/>
      <c r="H708" s="169"/>
      <c r="I708" s="169"/>
      <c r="J708" s="169"/>
      <c r="K708" s="169"/>
      <c r="L708" s="169"/>
      <c r="M708" s="169"/>
      <c r="N708" s="170"/>
      <c r="O708" s="170"/>
      <c r="P708" s="170"/>
      <c r="Q708" s="170"/>
      <c r="R708" s="169"/>
      <c r="S708" s="169"/>
      <c r="T708" s="169"/>
      <c r="U708" s="169"/>
      <c r="V708" s="169"/>
      <c r="W708" s="169"/>
      <c r="X708" s="169"/>
      <c r="Y708" s="169"/>
      <c r="Z708" s="171"/>
      <c r="AA708" s="171"/>
      <c r="AB708" s="171"/>
      <c r="AC708" s="171"/>
      <c r="AD708" s="171"/>
      <c r="AE708" s="171"/>
      <c r="AF708" s="171"/>
      <c r="AG708" s="171" t="s">
        <v>148</v>
      </c>
      <c r="AH708" s="171">
        <v>0</v>
      </c>
      <c r="AI708" s="171"/>
      <c r="AJ708" s="171"/>
      <c r="AK708" s="171"/>
      <c r="AL708" s="171"/>
      <c r="AM708" s="171"/>
      <c r="AN708" s="171"/>
      <c r="AO708" s="171"/>
      <c r="AP708" s="171"/>
      <c r="AQ708" s="171"/>
      <c r="AR708" s="171"/>
      <c r="AS708" s="171"/>
      <c r="AT708" s="171"/>
      <c r="AU708" s="171"/>
      <c r="AV708" s="171"/>
      <c r="AW708" s="171"/>
      <c r="AX708" s="171"/>
      <c r="AY708" s="171"/>
      <c r="AZ708" s="171"/>
      <c r="BA708" s="171"/>
      <c r="BB708" s="171"/>
      <c r="BC708" s="171"/>
      <c r="BD708" s="171"/>
      <c r="BE708" s="171"/>
      <c r="BF708" s="171"/>
      <c r="BG708" s="171"/>
      <c r="BH708" s="171"/>
    </row>
    <row r="709" spans="1:60" outlineLevel="3" x14ac:dyDescent="0.2">
      <c r="A709" s="172"/>
      <c r="B709" s="173"/>
      <c r="C709" s="183" t="s">
        <v>269</v>
      </c>
      <c r="D709" s="184"/>
      <c r="E709" s="185">
        <v>831.98919999999998</v>
      </c>
      <c r="F709" s="196"/>
      <c r="G709" s="169"/>
      <c r="H709" s="169"/>
      <c r="I709" s="169"/>
      <c r="J709" s="169"/>
      <c r="K709" s="169"/>
      <c r="L709" s="169"/>
      <c r="M709" s="169"/>
      <c r="N709" s="170"/>
      <c r="O709" s="170"/>
      <c r="P709" s="170"/>
      <c r="Q709" s="170"/>
      <c r="R709" s="169"/>
      <c r="S709" s="169"/>
      <c r="T709" s="169"/>
      <c r="U709" s="169"/>
      <c r="V709" s="169"/>
      <c r="W709" s="169"/>
      <c r="X709" s="169"/>
      <c r="Y709" s="169"/>
      <c r="Z709" s="171"/>
      <c r="AA709" s="171"/>
      <c r="AB709" s="171"/>
      <c r="AC709" s="171"/>
      <c r="AD709" s="171"/>
      <c r="AE709" s="171"/>
      <c r="AF709" s="171"/>
      <c r="AG709" s="171" t="s">
        <v>148</v>
      </c>
      <c r="AH709" s="171">
        <v>1</v>
      </c>
      <c r="AI709" s="171"/>
      <c r="AJ709" s="171"/>
      <c r="AK709" s="171"/>
      <c r="AL709" s="171"/>
      <c r="AM709" s="171"/>
      <c r="AN709" s="171"/>
      <c r="AO709" s="171"/>
      <c r="AP709" s="171"/>
      <c r="AQ709" s="171"/>
      <c r="AR709" s="171"/>
      <c r="AS709" s="171"/>
      <c r="AT709" s="171"/>
      <c r="AU709" s="171"/>
      <c r="AV709" s="171"/>
      <c r="AW709" s="171"/>
      <c r="AX709" s="171"/>
      <c r="AY709" s="171"/>
      <c r="AZ709" s="171"/>
      <c r="BA709" s="171"/>
      <c r="BB709" s="171"/>
      <c r="BC709" s="171"/>
      <c r="BD709" s="171"/>
      <c r="BE709" s="171"/>
      <c r="BF709" s="171"/>
      <c r="BG709" s="171"/>
      <c r="BH709" s="171"/>
    </row>
    <row r="710" spans="1:60" outlineLevel="3" x14ac:dyDescent="0.2">
      <c r="A710" s="172"/>
      <c r="B710" s="173"/>
      <c r="C710" s="174" t="s">
        <v>686</v>
      </c>
      <c r="D710" s="175"/>
      <c r="E710" s="176"/>
      <c r="F710" s="196"/>
      <c r="G710" s="169"/>
      <c r="H710" s="169"/>
      <c r="I710" s="169"/>
      <c r="J710" s="169"/>
      <c r="K710" s="169"/>
      <c r="L710" s="169"/>
      <c r="M710" s="169"/>
      <c r="N710" s="170"/>
      <c r="O710" s="170"/>
      <c r="P710" s="170"/>
      <c r="Q710" s="170"/>
      <c r="R710" s="169"/>
      <c r="S710" s="169"/>
      <c r="T710" s="169"/>
      <c r="U710" s="169"/>
      <c r="V710" s="169"/>
      <c r="W710" s="169"/>
      <c r="X710" s="169"/>
      <c r="Y710" s="169"/>
      <c r="Z710" s="171"/>
      <c r="AA710" s="171"/>
      <c r="AB710" s="171"/>
      <c r="AC710" s="171"/>
      <c r="AD710" s="171"/>
      <c r="AE710" s="171"/>
      <c r="AF710" s="171"/>
      <c r="AG710" s="171" t="s">
        <v>148</v>
      </c>
      <c r="AH710" s="171">
        <v>0</v>
      </c>
      <c r="AI710" s="171"/>
      <c r="AJ710" s="171"/>
      <c r="AK710" s="171"/>
      <c r="AL710" s="171"/>
      <c r="AM710" s="171"/>
      <c r="AN710" s="171"/>
      <c r="AO710" s="171"/>
      <c r="AP710" s="171"/>
      <c r="AQ710" s="171"/>
      <c r="AR710" s="171"/>
      <c r="AS710" s="171"/>
      <c r="AT710" s="171"/>
      <c r="AU710" s="171"/>
      <c r="AV710" s="171"/>
      <c r="AW710" s="171"/>
      <c r="AX710" s="171"/>
      <c r="AY710" s="171"/>
      <c r="AZ710" s="171"/>
      <c r="BA710" s="171"/>
      <c r="BB710" s="171"/>
      <c r="BC710" s="171"/>
      <c r="BD710" s="171"/>
      <c r="BE710" s="171"/>
      <c r="BF710" s="171"/>
      <c r="BG710" s="171"/>
      <c r="BH710" s="171"/>
    </row>
    <row r="711" spans="1:60" ht="22.5" outlineLevel="3" x14ac:dyDescent="0.2">
      <c r="A711" s="172"/>
      <c r="B711" s="173"/>
      <c r="C711" s="174" t="s">
        <v>687</v>
      </c>
      <c r="D711" s="175"/>
      <c r="E711" s="176">
        <v>172.62905000000001</v>
      </c>
      <c r="F711" s="196"/>
      <c r="G711" s="169"/>
      <c r="H711" s="169"/>
      <c r="I711" s="169"/>
      <c r="J711" s="169"/>
      <c r="K711" s="169"/>
      <c r="L711" s="169"/>
      <c r="M711" s="169"/>
      <c r="N711" s="170"/>
      <c r="O711" s="170"/>
      <c r="P711" s="170"/>
      <c r="Q711" s="170"/>
      <c r="R711" s="169"/>
      <c r="S711" s="169"/>
      <c r="T711" s="169"/>
      <c r="U711" s="169"/>
      <c r="V711" s="169"/>
      <c r="W711" s="169"/>
      <c r="X711" s="169"/>
      <c r="Y711" s="169"/>
      <c r="Z711" s="171"/>
      <c r="AA711" s="171"/>
      <c r="AB711" s="171"/>
      <c r="AC711" s="171"/>
      <c r="AD711" s="171"/>
      <c r="AE711" s="171"/>
      <c r="AF711" s="171"/>
      <c r="AG711" s="171" t="s">
        <v>148</v>
      </c>
      <c r="AH711" s="171">
        <v>0</v>
      </c>
      <c r="AI711" s="171"/>
      <c r="AJ711" s="171"/>
      <c r="AK711" s="171"/>
      <c r="AL711" s="171"/>
      <c r="AM711" s="171"/>
      <c r="AN711" s="171"/>
      <c r="AO711" s="171"/>
      <c r="AP711" s="171"/>
      <c r="AQ711" s="171"/>
      <c r="AR711" s="171"/>
      <c r="AS711" s="171"/>
      <c r="AT711" s="171"/>
      <c r="AU711" s="171"/>
      <c r="AV711" s="171"/>
      <c r="AW711" s="171"/>
      <c r="AX711" s="171"/>
      <c r="AY711" s="171"/>
      <c r="AZ711" s="171"/>
      <c r="BA711" s="171"/>
      <c r="BB711" s="171"/>
      <c r="BC711" s="171"/>
      <c r="BD711" s="171"/>
      <c r="BE711" s="171"/>
      <c r="BF711" s="171"/>
      <c r="BG711" s="171"/>
      <c r="BH711" s="171"/>
    </row>
    <row r="712" spans="1:60" outlineLevel="3" x14ac:dyDescent="0.2">
      <c r="A712" s="172"/>
      <c r="B712" s="173"/>
      <c r="C712" s="183" t="s">
        <v>269</v>
      </c>
      <c r="D712" s="184"/>
      <c r="E712" s="185">
        <v>172.62905000000001</v>
      </c>
      <c r="F712" s="196"/>
      <c r="G712" s="169"/>
      <c r="H712" s="169"/>
      <c r="I712" s="169"/>
      <c r="J712" s="169"/>
      <c r="K712" s="169"/>
      <c r="L712" s="169"/>
      <c r="M712" s="169"/>
      <c r="N712" s="170"/>
      <c r="O712" s="170"/>
      <c r="P712" s="170"/>
      <c r="Q712" s="170"/>
      <c r="R712" s="169"/>
      <c r="S712" s="169"/>
      <c r="T712" s="169"/>
      <c r="U712" s="169"/>
      <c r="V712" s="169"/>
      <c r="W712" s="169"/>
      <c r="X712" s="169"/>
      <c r="Y712" s="169"/>
      <c r="Z712" s="171"/>
      <c r="AA712" s="171"/>
      <c r="AB712" s="171"/>
      <c r="AC712" s="171"/>
      <c r="AD712" s="171"/>
      <c r="AE712" s="171"/>
      <c r="AF712" s="171"/>
      <c r="AG712" s="171" t="s">
        <v>148</v>
      </c>
      <c r="AH712" s="171">
        <v>1</v>
      </c>
      <c r="AI712" s="171"/>
      <c r="AJ712" s="171"/>
      <c r="AK712" s="171"/>
      <c r="AL712" s="171"/>
      <c r="AM712" s="171"/>
      <c r="AN712" s="171"/>
      <c r="AO712" s="171"/>
      <c r="AP712" s="171"/>
      <c r="AQ712" s="171"/>
      <c r="AR712" s="171"/>
      <c r="AS712" s="171"/>
      <c r="AT712" s="171"/>
      <c r="AU712" s="171"/>
      <c r="AV712" s="171"/>
      <c r="AW712" s="171"/>
      <c r="AX712" s="171"/>
      <c r="AY712" s="171"/>
      <c r="AZ712" s="171"/>
      <c r="BA712" s="171"/>
      <c r="BB712" s="171"/>
      <c r="BC712" s="171"/>
      <c r="BD712" s="171"/>
      <c r="BE712" s="171"/>
      <c r="BF712" s="171"/>
      <c r="BG712" s="171"/>
      <c r="BH712" s="171"/>
    </row>
    <row r="713" spans="1:60" outlineLevel="1" x14ac:dyDescent="0.2">
      <c r="A713" s="177">
        <v>110</v>
      </c>
      <c r="B713" s="178" t="s">
        <v>688</v>
      </c>
      <c r="C713" s="179" t="s">
        <v>689</v>
      </c>
      <c r="D713" s="180" t="s">
        <v>159</v>
      </c>
      <c r="E713" s="181">
        <v>123</v>
      </c>
      <c r="F713" s="141"/>
      <c r="G713" s="182">
        <f>ROUND(E713*F713,2)</f>
        <v>0</v>
      </c>
      <c r="H713" s="168"/>
      <c r="I713" s="169">
        <f>ROUND(E713*H713,2)</f>
        <v>0</v>
      </c>
      <c r="J713" s="168"/>
      <c r="K713" s="169">
        <f>ROUND(E713*J713,2)</f>
        <v>0</v>
      </c>
      <c r="L713" s="169">
        <v>21</v>
      </c>
      <c r="M713" s="169">
        <f>G713*(1+L713/100)</f>
        <v>0</v>
      </c>
      <c r="N713" s="170">
        <v>3.5E-4</v>
      </c>
      <c r="O713" s="170">
        <f>ROUND(E713*N713,2)</f>
        <v>0.04</v>
      </c>
      <c r="P713" s="170">
        <v>0</v>
      </c>
      <c r="Q713" s="170">
        <f>ROUND(E713*P713,2)</f>
        <v>0</v>
      </c>
      <c r="R713" s="169"/>
      <c r="S713" s="169" t="s">
        <v>143</v>
      </c>
      <c r="T713" s="169" t="s">
        <v>143</v>
      </c>
      <c r="U713" s="169">
        <v>0.16897000000000001</v>
      </c>
      <c r="V713" s="169">
        <f>ROUND(E713*U713,2)</f>
        <v>20.78</v>
      </c>
      <c r="W713" s="169"/>
      <c r="X713" s="169" t="s">
        <v>144</v>
      </c>
      <c r="Y713" s="169" t="s">
        <v>145</v>
      </c>
      <c r="Z713" s="171"/>
      <c r="AA713" s="171"/>
      <c r="AB713" s="171"/>
      <c r="AC713" s="171"/>
      <c r="AD713" s="171"/>
      <c r="AE713" s="171"/>
      <c r="AF713" s="171"/>
      <c r="AG713" s="171" t="s">
        <v>146</v>
      </c>
      <c r="AH713" s="171"/>
      <c r="AI713" s="171"/>
      <c r="AJ713" s="171"/>
      <c r="AK713" s="171"/>
      <c r="AL713" s="171"/>
      <c r="AM713" s="171"/>
      <c r="AN713" s="171"/>
      <c r="AO713" s="171"/>
      <c r="AP713" s="171"/>
      <c r="AQ713" s="171"/>
      <c r="AR713" s="171"/>
      <c r="AS713" s="171"/>
      <c r="AT713" s="171"/>
      <c r="AU713" s="171"/>
      <c r="AV713" s="171"/>
      <c r="AW713" s="171"/>
      <c r="AX713" s="171"/>
      <c r="AY713" s="171"/>
      <c r="AZ713" s="171"/>
      <c r="BA713" s="171"/>
      <c r="BB713" s="171"/>
      <c r="BC713" s="171"/>
      <c r="BD713" s="171"/>
      <c r="BE713" s="171"/>
      <c r="BF713" s="171"/>
      <c r="BG713" s="171"/>
      <c r="BH713" s="171"/>
    </row>
    <row r="714" spans="1:60" outlineLevel="1" x14ac:dyDescent="0.2">
      <c r="A714" s="177">
        <v>111</v>
      </c>
      <c r="B714" s="178" t="s">
        <v>690</v>
      </c>
      <c r="C714" s="179" t="s">
        <v>691</v>
      </c>
      <c r="D714" s="180" t="s">
        <v>159</v>
      </c>
      <c r="E714" s="181">
        <v>831.98919999999998</v>
      </c>
      <c r="F714" s="141"/>
      <c r="G714" s="182">
        <f>ROUND(E714*F714,2)</f>
        <v>0</v>
      </c>
      <c r="H714" s="168"/>
      <c r="I714" s="169">
        <f>ROUND(E714*H714,2)</f>
        <v>0</v>
      </c>
      <c r="J714" s="168"/>
      <c r="K714" s="169">
        <f>ROUND(E714*J714,2)</f>
        <v>0</v>
      </c>
      <c r="L714" s="169">
        <v>21</v>
      </c>
      <c r="M714" s="169">
        <f>G714*(1+L714/100)</f>
        <v>0</v>
      </c>
      <c r="N714" s="170">
        <v>2.9E-4</v>
      </c>
      <c r="O714" s="170">
        <f>ROUND(E714*N714,2)</f>
        <v>0.24</v>
      </c>
      <c r="P714" s="170">
        <v>0</v>
      </c>
      <c r="Q714" s="170">
        <f>ROUND(E714*P714,2)</f>
        <v>0</v>
      </c>
      <c r="R714" s="169"/>
      <c r="S714" s="169" t="s">
        <v>143</v>
      </c>
      <c r="T714" s="169" t="s">
        <v>143</v>
      </c>
      <c r="U714" s="169">
        <v>0.10191</v>
      </c>
      <c r="V714" s="169">
        <f>ROUND(E714*U714,2)</f>
        <v>84.79</v>
      </c>
      <c r="W714" s="169"/>
      <c r="X714" s="169" t="s">
        <v>144</v>
      </c>
      <c r="Y714" s="169" t="s">
        <v>145</v>
      </c>
      <c r="Z714" s="171"/>
      <c r="AA714" s="171"/>
      <c r="AB714" s="171"/>
      <c r="AC714" s="171"/>
      <c r="AD714" s="171"/>
      <c r="AE714" s="171"/>
      <c r="AF714" s="171"/>
      <c r="AG714" s="171" t="s">
        <v>146</v>
      </c>
      <c r="AH714" s="171"/>
      <c r="AI714" s="171"/>
      <c r="AJ714" s="171"/>
      <c r="AK714" s="171"/>
      <c r="AL714" s="171"/>
      <c r="AM714" s="171"/>
      <c r="AN714" s="171"/>
      <c r="AO714" s="171"/>
      <c r="AP714" s="171"/>
      <c r="AQ714" s="171"/>
      <c r="AR714" s="171"/>
      <c r="AS714" s="171"/>
      <c r="AT714" s="171"/>
      <c r="AU714" s="171"/>
      <c r="AV714" s="171"/>
      <c r="AW714" s="171"/>
      <c r="AX714" s="171"/>
      <c r="AY714" s="171"/>
      <c r="AZ714" s="171"/>
      <c r="BA714" s="171"/>
      <c r="BB714" s="171"/>
      <c r="BC714" s="171"/>
      <c r="BD714" s="171"/>
      <c r="BE714" s="171"/>
      <c r="BF714" s="171"/>
      <c r="BG714" s="171"/>
      <c r="BH714" s="171"/>
    </row>
    <row r="715" spans="1:60" outlineLevel="1" x14ac:dyDescent="0.2">
      <c r="A715" s="177">
        <v>112</v>
      </c>
      <c r="B715" s="178" t="s">
        <v>692</v>
      </c>
      <c r="C715" s="179" t="s">
        <v>693</v>
      </c>
      <c r="D715" s="180" t="s">
        <v>159</v>
      </c>
      <c r="E715" s="181">
        <v>172.62905000000001</v>
      </c>
      <c r="F715" s="141"/>
      <c r="G715" s="182">
        <f>ROUND(E715*F715,2)</f>
        <v>0</v>
      </c>
      <c r="H715" s="168"/>
      <c r="I715" s="169">
        <f>ROUND(E715*H715,2)</f>
        <v>0</v>
      </c>
      <c r="J715" s="168"/>
      <c r="K715" s="169">
        <f>ROUND(E715*J715,2)</f>
        <v>0</v>
      </c>
      <c r="L715" s="169">
        <v>21</v>
      </c>
      <c r="M715" s="169">
        <f>G715*(1+L715/100)</f>
        <v>0</v>
      </c>
      <c r="N715" s="170">
        <v>2.9E-4</v>
      </c>
      <c r="O715" s="170">
        <f>ROUND(E715*N715,2)</f>
        <v>0.05</v>
      </c>
      <c r="P715" s="170">
        <v>0</v>
      </c>
      <c r="Q715" s="170">
        <f>ROUND(E715*P715,2)</f>
        <v>0</v>
      </c>
      <c r="R715" s="169"/>
      <c r="S715" s="169" t="s">
        <v>143</v>
      </c>
      <c r="T715" s="169" t="s">
        <v>143</v>
      </c>
      <c r="U715" s="169">
        <v>0.10191</v>
      </c>
      <c r="V715" s="169">
        <f>ROUND(E715*U715,2)</f>
        <v>17.59</v>
      </c>
      <c r="W715" s="169"/>
      <c r="X715" s="169" t="s">
        <v>144</v>
      </c>
      <c r="Y715" s="169" t="s">
        <v>145</v>
      </c>
      <c r="Z715" s="171"/>
      <c r="AA715" s="171"/>
      <c r="AB715" s="171"/>
      <c r="AC715" s="171"/>
      <c r="AD715" s="171"/>
      <c r="AE715" s="171"/>
      <c r="AF715" s="171"/>
      <c r="AG715" s="171" t="s">
        <v>146</v>
      </c>
      <c r="AH715" s="171"/>
      <c r="AI715" s="171"/>
      <c r="AJ715" s="171"/>
      <c r="AK715" s="171"/>
      <c r="AL715" s="171"/>
      <c r="AM715" s="171"/>
      <c r="AN715" s="171"/>
      <c r="AO715" s="171"/>
      <c r="AP715" s="171"/>
      <c r="AQ715" s="171"/>
      <c r="AR715" s="171"/>
      <c r="AS715" s="171"/>
      <c r="AT715" s="171"/>
      <c r="AU715" s="171"/>
      <c r="AV715" s="171"/>
      <c r="AW715" s="171"/>
      <c r="AX715" s="171"/>
      <c r="AY715" s="171"/>
      <c r="AZ715" s="171"/>
      <c r="BA715" s="171"/>
      <c r="BB715" s="171"/>
      <c r="BC715" s="171"/>
      <c r="BD715" s="171"/>
      <c r="BE715" s="171"/>
      <c r="BF715" s="171"/>
      <c r="BG715" s="171"/>
      <c r="BH715" s="171"/>
    </row>
    <row r="716" spans="1:60" outlineLevel="1" x14ac:dyDescent="0.2">
      <c r="A716" s="177">
        <v>113</v>
      </c>
      <c r="B716" s="178" t="s">
        <v>694</v>
      </c>
      <c r="C716" s="179" t="s">
        <v>695</v>
      </c>
      <c r="D716" s="180" t="s">
        <v>159</v>
      </c>
      <c r="E716" s="181">
        <v>765.53920000000005</v>
      </c>
      <c r="F716" s="141"/>
      <c r="G716" s="182">
        <f>ROUND(E716*F716,2)</f>
        <v>0</v>
      </c>
      <c r="H716" s="168"/>
      <c r="I716" s="169">
        <f>ROUND(E716*H716,2)</f>
        <v>0</v>
      </c>
      <c r="J716" s="168"/>
      <c r="K716" s="169">
        <f>ROUND(E716*J716,2)</f>
        <v>0</v>
      </c>
      <c r="L716" s="169">
        <v>21</v>
      </c>
      <c r="M716" s="169">
        <f>G716*(1+L716/100)</f>
        <v>0</v>
      </c>
      <c r="N716" s="170">
        <v>0</v>
      </c>
      <c r="O716" s="170">
        <f>ROUND(E716*N716,2)</f>
        <v>0</v>
      </c>
      <c r="P716" s="170">
        <v>0</v>
      </c>
      <c r="Q716" s="170">
        <f>ROUND(E716*P716,2)</f>
        <v>0</v>
      </c>
      <c r="R716" s="169"/>
      <c r="S716" s="169" t="s">
        <v>143</v>
      </c>
      <c r="T716" s="169" t="s">
        <v>143</v>
      </c>
      <c r="U716" s="169">
        <v>7.0000000000000007E-2</v>
      </c>
      <c r="V716" s="169">
        <f>ROUND(E716*U716,2)</f>
        <v>53.59</v>
      </c>
      <c r="W716" s="169"/>
      <c r="X716" s="169" t="s">
        <v>144</v>
      </c>
      <c r="Y716" s="169" t="s">
        <v>145</v>
      </c>
      <c r="Z716" s="171"/>
      <c r="AA716" s="171"/>
      <c r="AB716" s="171"/>
      <c r="AC716" s="171"/>
      <c r="AD716" s="171"/>
      <c r="AE716" s="171"/>
      <c r="AF716" s="171"/>
      <c r="AG716" s="171" t="s">
        <v>696</v>
      </c>
      <c r="AH716" s="171"/>
      <c r="AI716" s="171"/>
      <c r="AJ716" s="171"/>
      <c r="AK716" s="171"/>
      <c r="AL716" s="171"/>
      <c r="AM716" s="171"/>
      <c r="AN716" s="171"/>
      <c r="AO716" s="171"/>
      <c r="AP716" s="171"/>
      <c r="AQ716" s="171"/>
      <c r="AR716" s="171"/>
      <c r="AS716" s="171"/>
      <c r="AT716" s="171"/>
      <c r="AU716" s="171"/>
      <c r="AV716" s="171"/>
      <c r="AW716" s="171"/>
      <c r="AX716" s="171"/>
      <c r="AY716" s="171"/>
      <c r="AZ716" s="171"/>
      <c r="BA716" s="171"/>
      <c r="BB716" s="171"/>
      <c r="BC716" s="171"/>
      <c r="BD716" s="171"/>
      <c r="BE716" s="171"/>
      <c r="BF716" s="171"/>
      <c r="BG716" s="171"/>
      <c r="BH716" s="171"/>
    </row>
    <row r="717" spans="1:60" outlineLevel="1" x14ac:dyDescent="0.2">
      <c r="A717" s="177">
        <v>114</v>
      </c>
      <c r="B717" s="178" t="s">
        <v>697</v>
      </c>
      <c r="C717" s="179" t="s">
        <v>698</v>
      </c>
      <c r="D717" s="180" t="s">
        <v>159</v>
      </c>
      <c r="E717" s="181">
        <v>765.53920000000005</v>
      </c>
      <c r="F717" s="141"/>
      <c r="G717" s="182">
        <f>ROUND(E717*F717,2)</f>
        <v>0</v>
      </c>
      <c r="H717" s="168"/>
      <c r="I717" s="169">
        <f>ROUND(E717*H717,2)</f>
        <v>0</v>
      </c>
      <c r="J717" s="168"/>
      <c r="K717" s="169">
        <f>ROUND(E717*J717,2)</f>
        <v>0</v>
      </c>
      <c r="L717" s="169">
        <v>21</v>
      </c>
      <c r="M717" s="169">
        <f>G717*(1+L717/100)</f>
        <v>0</v>
      </c>
      <c r="N717" s="170">
        <v>0</v>
      </c>
      <c r="O717" s="170">
        <f>ROUND(E717*N717,2)</f>
        <v>0</v>
      </c>
      <c r="P717" s="170">
        <v>0</v>
      </c>
      <c r="Q717" s="170">
        <f>ROUND(E717*P717,2)</f>
        <v>0</v>
      </c>
      <c r="R717" s="169"/>
      <c r="S717" s="169" t="s">
        <v>143</v>
      </c>
      <c r="T717" s="169" t="s">
        <v>143</v>
      </c>
      <c r="U717" s="169">
        <v>0.04</v>
      </c>
      <c r="V717" s="169">
        <f>ROUND(E717*U717,2)</f>
        <v>30.62</v>
      </c>
      <c r="W717" s="169"/>
      <c r="X717" s="169" t="s">
        <v>144</v>
      </c>
      <c r="Y717" s="169" t="s">
        <v>145</v>
      </c>
      <c r="Z717" s="171"/>
      <c r="AA717" s="171"/>
      <c r="AB717" s="171"/>
      <c r="AC717" s="171"/>
      <c r="AD717" s="171"/>
      <c r="AE717" s="171"/>
      <c r="AF717" s="171"/>
      <c r="AG717" s="171" t="s">
        <v>696</v>
      </c>
      <c r="AH717" s="171"/>
      <c r="AI717" s="171"/>
      <c r="AJ717" s="171"/>
      <c r="AK717" s="171"/>
      <c r="AL717" s="171"/>
      <c r="AM717" s="171"/>
      <c r="AN717" s="171"/>
      <c r="AO717" s="171"/>
      <c r="AP717" s="171"/>
      <c r="AQ717" s="171"/>
      <c r="AR717" s="171"/>
      <c r="AS717" s="171"/>
      <c r="AT717" s="171"/>
      <c r="AU717" s="171"/>
      <c r="AV717" s="171"/>
      <c r="AW717" s="171"/>
      <c r="AX717" s="171"/>
      <c r="AY717" s="171"/>
      <c r="AZ717" s="171"/>
      <c r="BA717" s="171"/>
      <c r="BB717" s="171"/>
      <c r="BC717" s="171"/>
      <c r="BD717" s="171"/>
      <c r="BE717" s="171"/>
      <c r="BF717" s="171"/>
      <c r="BG717" s="171"/>
      <c r="BH717" s="171"/>
    </row>
    <row r="718" spans="1:60" x14ac:dyDescent="0.2">
      <c r="A718" s="153" t="s">
        <v>138</v>
      </c>
      <c r="B718" s="154" t="s">
        <v>105</v>
      </c>
      <c r="C718" s="155" t="s">
        <v>106</v>
      </c>
      <c r="D718" s="156"/>
      <c r="E718" s="157"/>
      <c r="F718" s="197"/>
      <c r="G718" s="159">
        <f>SUMIF(AG719:AG720,"&lt;&gt;NOR",G719:G720)</f>
        <v>0</v>
      </c>
      <c r="H718" s="160"/>
      <c r="I718" s="160">
        <f>SUM(I719:I720)</f>
        <v>0</v>
      </c>
      <c r="J718" s="160"/>
      <c r="K718" s="160">
        <f>SUM(K719:K720)</f>
        <v>0</v>
      </c>
      <c r="L718" s="160"/>
      <c r="M718" s="160">
        <f>SUM(M719:M720)</f>
        <v>0</v>
      </c>
      <c r="N718" s="161"/>
      <c r="O718" s="161">
        <f>SUM(O719:O720)</f>
        <v>0</v>
      </c>
      <c r="P718" s="161"/>
      <c r="Q718" s="161">
        <f>SUM(Q719:Q720)</f>
        <v>0</v>
      </c>
      <c r="R718" s="160"/>
      <c r="S718" s="160"/>
      <c r="T718" s="160"/>
      <c r="U718" s="160"/>
      <c r="V718" s="160">
        <f>SUM(V719:V720)</f>
        <v>0</v>
      </c>
      <c r="W718" s="160"/>
      <c r="X718" s="160"/>
      <c r="Y718" s="160"/>
      <c r="AG718" t="s">
        <v>139</v>
      </c>
    </row>
    <row r="719" spans="1:60" ht="22.5" outlineLevel="1" x14ac:dyDescent="0.2">
      <c r="A719" s="177">
        <v>115</v>
      </c>
      <c r="B719" s="178" t="s">
        <v>699</v>
      </c>
      <c r="C719" s="179" t="s">
        <v>700</v>
      </c>
      <c r="D719" s="180" t="s">
        <v>701</v>
      </c>
      <c r="E719" s="181">
        <v>1</v>
      </c>
      <c r="F719" s="141">
        <f>Elektroinstalace!J36</f>
        <v>0</v>
      </c>
      <c r="G719" s="182">
        <f>ROUND(E719*F719,2)</f>
        <v>0</v>
      </c>
      <c r="H719" s="168"/>
      <c r="I719" s="169">
        <f>ROUND(E719*H719,2)</f>
        <v>0</v>
      </c>
      <c r="J719" s="168"/>
      <c r="K719" s="169">
        <f>ROUND(E719*J719,2)</f>
        <v>0</v>
      </c>
      <c r="L719" s="169">
        <v>21</v>
      </c>
      <c r="M719" s="169">
        <f>G719*(1+L719/100)</f>
        <v>0</v>
      </c>
      <c r="N719" s="170">
        <v>0</v>
      </c>
      <c r="O719" s="170">
        <f>ROUND(E719*N719,2)</f>
        <v>0</v>
      </c>
      <c r="P719" s="170">
        <v>0</v>
      </c>
      <c r="Q719" s="170">
        <f>ROUND(E719*P719,2)</f>
        <v>0</v>
      </c>
      <c r="R719" s="169"/>
      <c r="S719" s="169" t="s">
        <v>213</v>
      </c>
      <c r="T719" s="169" t="s">
        <v>214</v>
      </c>
      <c r="U719" s="169">
        <v>0</v>
      </c>
      <c r="V719" s="169">
        <f>ROUND(E719*U719,2)</f>
        <v>0</v>
      </c>
      <c r="W719" s="169"/>
      <c r="X719" s="169" t="s">
        <v>144</v>
      </c>
      <c r="Y719" s="169" t="s">
        <v>145</v>
      </c>
      <c r="Z719" s="171"/>
      <c r="AA719" s="171"/>
      <c r="AB719" s="171"/>
      <c r="AC719" s="171"/>
      <c r="AD719" s="171"/>
      <c r="AE719" s="171"/>
      <c r="AF719" s="171"/>
      <c r="AG719" s="171" t="s">
        <v>702</v>
      </c>
      <c r="AH719" s="171"/>
      <c r="AI719" s="171"/>
      <c r="AJ719" s="171"/>
      <c r="AK719" s="171"/>
      <c r="AL719" s="171"/>
      <c r="AM719" s="171"/>
      <c r="AN719" s="171"/>
      <c r="AO719" s="171"/>
      <c r="AP719" s="171"/>
      <c r="AQ719" s="171"/>
      <c r="AR719" s="171"/>
      <c r="AS719" s="171"/>
      <c r="AT719" s="171"/>
      <c r="AU719" s="171"/>
      <c r="AV719" s="171"/>
      <c r="AW719" s="171"/>
      <c r="AX719" s="171"/>
      <c r="AY719" s="171"/>
      <c r="AZ719" s="171"/>
      <c r="BA719" s="171"/>
      <c r="BB719" s="171"/>
      <c r="BC719" s="171"/>
      <c r="BD719" s="171"/>
      <c r="BE719" s="171"/>
      <c r="BF719" s="171"/>
      <c r="BG719" s="171"/>
      <c r="BH719" s="171"/>
    </row>
    <row r="720" spans="1:60" outlineLevel="1" x14ac:dyDescent="0.2">
      <c r="A720" s="177">
        <v>116</v>
      </c>
      <c r="B720" s="178" t="s">
        <v>703</v>
      </c>
      <c r="C720" s="179" t="s">
        <v>483</v>
      </c>
      <c r="D720" s="180" t="s">
        <v>0</v>
      </c>
      <c r="E720" s="142"/>
      <c r="F720" s="141"/>
      <c r="G720" s="182">
        <f>ROUND(E720*F720,2)</f>
        <v>0</v>
      </c>
      <c r="H720" s="168"/>
      <c r="I720" s="169">
        <f>ROUND(E720*H720,2)</f>
        <v>0</v>
      </c>
      <c r="J720" s="168"/>
      <c r="K720" s="169">
        <f>ROUND(E720*J720,2)</f>
        <v>0</v>
      </c>
      <c r="L720" s="169">
        <v>21</v>
      </c>
      <c r="M720" s="169">
        <f>G720*(1+L720/100)</f>
        <v>0</v>
      </c>
      <c r="N720" s="170">
        <v>0</v>
      </c>
      <c r="O720" s="170">
        <f>ROUND(E720*N720,2)</f>
        <v>0</v>
      </c>
      <c r="P720" s="170">
        <v>0</v>
      </c>
      <c r="Q720" s="170">
        <f>ROUND(E720*P720,2)</f>
        <v>0</v>
      </c>
      <c r="R720" s="169"/>
      <c r="S720" s="169" t="s">
        <v>213</v>
      </c>
      <c r="T720" s="169" t="s">
        <v>214</v>
      </c>
      <c r="U720" s="169">
        <v>0</v>
      </c>
      <c r="V720" s="169">
        <f>ROUND(E720*U720,2)</f>
        <v>0</v>
      </c>
      <c r="W720" s="169"/>
      <c r="X720" s="169" t="s">
        <v>144</v>
      </c>
      <c r="Y720" s="169" t="s">
        <v>145</v>
      </c>
      <c r="Z720" s="171"/>
      <c r="AA720" s="171"/>
      <c r="AB720" s="171"/>
      <c r="AC720" s="171"/>
      <c r="AD720" s="171"/>
      <c r="AE720" s="171"/>
      <c r="AF720" s="171"/>
      <c r="AG720" s="171" t="s">
        <v>146</v>
      </c>
      <c r="AH720" s="171"/>
      <c r="AI720" s="171"/>
      <c r="AJ720" s="171"/>
      <c r="AK720" s="171"/>
      <c r="AL720" s="171"/>
      <c r="AM720" s="171"/>
      <c r="AN720" s="171"/>
      <c r="AO720" s="171"/>
      <c r="AP720" s="171"/>
      <c r="AQ720" s="171"/>
      <c r="AR720" s="171"/>
      <c r="AS720" s="171"/>
      <c r="AT720" s="171"/>
      <c r="AU720" s="171"/>
      <c r="AV720" s="171"/>
      <c r="AW720" s="171"/>
      <c r="AX720" s="171"/>
      <c r="AY720" s="171"/>
      <c r="AZ720" s="171"/>
      <c r="BA720" s="171"/>
      <c r="BB720" s="171"/>
      <c r="BC720" s="171"/>
      <c r="BD720" s="171"/>
      <c r="BE720" s="171"/>
      <c r="BF720" s="171"/>
      <c r="BG720" s="171"/>
      <c r="BH720" s="171"/>
    </row>
    <row r="721" spans="1:60" x14ac:dyDescent="0.2">
      <c r="A721" s="153" t="s">
        <v>138</v>
      </c>
      <c r="B721" s="154" t="s">
        <v>107</v>
      </c>
      <c r="C721" s="155" t="s">
        <v>108</v>
      </c>
      <c r="D721" s="156"/>
      <c r="E721" s="157"/>
      <c r="F721" s="197"/>
      <c r="G721" s="159">
        <f>SUMIF(AG722:AG755,"&lt;&gt;NOR",G722:G755)</f>
        <v>0</v>
      </c>
      <c r="H721" s="160"/>
      <c r="I721" s="160">
        <f>SUM(I722:I755)</f>
        <v>0</v>
      </c>
      <c r="J721" s="160"/>
      <c r="K721" s="160">
        <f>SUM(K722:K755)</f>
        <v>0</v>
      </c>
      <c r="L721" s="160"/>
      <c r="M721" s="160">
        <f>SUM(M722:M755)</f>
        <v>0</v>
      </c>
      <c r="N721" s="161"/>
      <c r="O721" s="161">
        <f>SUM(O722:O755)</f>
        <v>0</v>
      </c>
      <c r="P721" s="161"/>
      <c r="Q721" s="161">
        <f>SUM(Q722:Q755)</f>
        <v>0</v>
      </c>
      <c r="R721" s="160"/>
      <c r="S721" s="160"/>
      <c r="T721" s="160"/>
      <c r="U721" s="160"/>
      <c r="V721" s="160">
        <f>SUM(V722:V755)</f>
        <v>207.59</v>
      </c>
      <c r="W721" s="160"/>
      <c r="X721" s="160"/>
      <c r="Y721" s="160"/>
      <c r="AG721" t="s">
        <v>139</v>
      </c>
    </row>
    <row r="722" spans="1:60" outlineLevel="1" x14ac:dyDescent="0.2">
      <c r="A722" s="162">
        <v>117</v>
      </c>
      <c r="B722" s="163" t="s">
        <v>704</v>
      </c>
      <c r="C722" s="164" t="s">
        <v>705</v>
      </c>
      <c r="D722" s="165" t="s">
        <v>155</v>
      </c>
      <c r="E722" s="166">
        <v>0.77898999999999996</v>
      </c>
      <c r="F722" s="140"/>
      <c r="G722" s="167">
        <f>ROUND(E722*F722,2)</f>
        <v>0</v>
      </c>
      <c r="H722" s="168"/>
      <c r="I722" s="169">
        <f>ROUND(E722*H722,2)</f>
        <v>0</v>
      </c>
      <c r="J722" s="168"/>
      <c r="K722" s="169">
        <f>ROUND(E722*J722,2)</f>
        <v>0</v>
      </c>
      <c r="L722" s="169">
        <v>21</v>
      </c>
      <c r="M722" s="169">
        <f>G722*(1+L722/100)</f>
        <v>0</v>
      </c>
      <c r="N722" s="170">
        <v>0</v>
      </c>
      <c r="O722" s="170">
        <f>ROUND(E722*N722,2)</f>
        <v>0</v>
      </c>
      <c r="P722" s="170">
        <v>0</v>
      </c>
      <c r="Q722" s="170">
        <f>ROUND(E722*P722,2)</f>
        <v>0</v>
      </c>
      <c r="R722" s="169"/>
      <c r="S722" s="169" t="s">
        <v>143</v>
      </c>
      <c r="T722" s="169" t="s">
        <v>143</v>
      </c>
      <c r="U722" s="169">
        <v>0</v>
      </c>
      <c r="V722" s="169">
        <f>ROUND(E722*U722,2)</f>
        <v>0</v>
      </c>
      <c r="W722" s="169"/>
      <c r="X722" s="169" t="s">
        <v>144</v>
      </c>
      <c r="Y722" s="169" t="s">
        <v>145</v>
      </c>
      <c r="Z722" s="171"/>
      <c r="AA722" s="171"/>
      <c r="AB722" s="171"/>
      <c r="AC722" s="171"/>
      <c r="AD722" s="171"/>
      <c r="AE722" s="171"/>
      <c r="AF722" s="171"/>
      <c r="AG722" s="171" t="s">
        <v>146</v>
      </c>
      <c r="AH722" s="171"/>
      <c r="AI722" s="171"/>
      <c r="AJ722" s="171"/>
      <c r="AK722" s="171"/>
      <c r="AL722" s="171"/>
      <c r="AM722" s="171"/>
      <c r="AN722" s="171"/>
      <c r="AO722" s="171"/>
      <c r="AP722" s="171"/>
      <c r="AQ722" s="171"/>
      <c r="AR722" s="171"/>
      <c r="AS722" s="171"/>
      <c r="AT722" s="171"/>
      <c r="AU722" s="171"/>
      <c r="AV722" s="171"/>
      <c r="AW722" s="171"/>
      <c r="AX722" s="171"/>
      <c r="AY722" s="171"/>
      <c r="AZ722" s="171"/>
      <c r="BA722" s="171"/>
      <c r="BB722" s="171"/>
      <c r="BC722" s="171"/>
      <c r="BD722" s="171"/>
      <c r="BE722" s="171"/>
      <c r="BF722" s="171"/>
      <c r="BG722" s="171"/>
      <c r="BH722" s="171"/>
    </row>
    <row r="723" spans="1:60" outlineLevel="2" x14ac:dyDescent="0.2">
      <c r="A723" s="172"/>
      <c r="B723" s="173"/>
      <c r="C723" s="174" t="s">
        <v>706</v>
      </c>
      <c r="D723" s="175"/>
      <c r="E723" s="176">
        <v>0.24</v>
      </c>
      <c r="F723" s="196"/>
      <c r="G723" s="169"/>
      <c r="H723" s="169"/>
      <c r="I723" s="169"/>
      <c r="J723" s="169"/>
      <c r="K723" s="169"/>
      <c r="L723" s="169"/>
      <c r="M723" s="169"/>
      <c r="N723" s="170"/>
      <c r="O723" s="170"/>
      <c r="P723" s="170"/>
      <c r="Q723" s="170"/>
      <c r="R723" s="169"/>
      <c r="S723" s="169"/>
      <c r="T723" s="169"/>
      <c r="U723" s="169"/>
      <c r="V723" s="169"/>
      <c r="W723" s="169"/>
      <c r="X723" s="169"/>
      <c r="Y723" s="169"/>
      <c r="Z723" s="171"/>
      <c r="AA723" s="171"/>
      <c r="AB723" s="171"/>
      <c r="AC723" s="171"/>
      <c r="AD723" s="171"/>
      <c r="AE723" s="171"/>
      <c r="AF723" s="171"/>
      <c r="AG723" s="171" t="s">
        <v>148</v>
      </c>
      <c r="AH723" s="171">
        <v>7</v>
      </c>
      <c r="AI723" s="171"/>
      <c r="AJ723" s="171"/>
      <c r="AK723" s="171"/>
      <c r="AL723" s="171"/>
      <c r="AM723" s="171"/>
      <c r="AN723" s="171"/>
      <c r="AO723" s="171"/>
      <c r="AP723" s="171"/>
      <c r="AQ723" s="171"/>
      <c r="AR723" s="171"/>
      <c r="AS723" s="171"/>
      <c r="AT723" s="171"/>
      <c r="AU723" s="171"/>
      <c r="AV723" s="171"/>
      <c r="AW723" s="171"/>
      <c r="AX723" s="171"/>
      <c r="AY723" s="171"/>
      <c r="AZ723" s="171"/>
      <c r="BA723" s="171"/>
      <c r="BB723" s="171"/>
      <c r="BC723" s="171"/>
      <c r="BD723" s="171"/>
      <c r="BE723" s="171"/>
      <c r="BF723" s="171"/>
      <c r="BG723" s="171"/>
      <c r="BH723" s="171"/>
    </row>
    <row r="724" spans="1:60" outlineLevel="3" x14ac:dyDescent="0.2">
      <c r="A724" s="172"/>
      <c r="B724" s="173"/>
      <c r="C724" s="174" t="s">
        <v>707</v>
      </c>
      <c r="D724" s="175"/>
      <c r="E724" s="176">
        <v>0.53898999999999997</v>
      </c>
      <c r="F724" s="196"/>
      <c r="G724" s="169"/>
      <c r="H724" s="169"/>
      <c r="I724" s="169"/>
      <c r="J724" s="169"/>
      <c r="K724" s="169"/>
      <c r="L724" s="169"/>
      <c r="M724" s="169"/>
      <c r="N724" s="170"/>
      <c r="O724" s="170"/>
      <c r="P724" s="170"/>
      <c r="Q724" s="170"/>
      <c r="R724" s="169"/>
      <c r="S724" s="169"/>
      <c r="T724" s="169"/>
      <c r="U724" s="169"/>
      <c r="V724" s="169"/>
      <c r="W724" s="169"/>
      <c r="X724" s="169"/>
      <c r="Y724" s="169"/>
      <c r="Z724" s="171"/>
      <c r="AA724" s="171"/>
      <c r="AB724" s="171"/>
      <c r="AC724" s="171"/>
      <c r="AD724" s="171"/>
      <c r="AE724" s="171"/>
      <c r="AF724" s="171"/>
      <c r="AG724" s="171" t="s">
        <v>148</v>
      </c>
      <c r="AH724" s="171">
        <v>7</v>
      </c>
      <c r="AI724" s="171"/>
      <c r="AJ724" s="171"/>
      <c r="AK724" s="171"/>
      <c r="AL724" s="171"/>
      <c r="AM724" s="171"/>
      <c r="AN724" s="171"/>
      <c r="AO724" s="171"/>
      <c r="AP724" s="171"/>
      <c r="AQ724" s="171"/>
      <c r="AR724" s="171"/>
      <c r="AS724" s="171"/>
      <c r="AT724" s="171"/>
      <c r="AU724" s="171"/>
      <c r="AV724" s="171"/>
      <c r="AW724" s="171"/>
      <c r="AX724" s="171"/>
      <c r="AY724" s="171"/>
      <c r="AZ724" s="171"/>
      <c r="BA724" s="171"/>
      <c r="BB724" s="171"/>
      <c r="BC724" s="171"/>
      <c r="BD724" s="171"/>
      <c r="BE724" s="171"/>
      <c r="BF724" s="171"/>
      <c r="BG724" s="171"/>
      <c r="BH724" s="171"/>
    </row>
    <row r="725" spans="1:60" ht="22.5" outlineLevel="1" x14ac:dyDescent="0.2">
      <c r="A725" s="162">
        <v>118</v>
      </c>
      <c r="B725" s="163" t="s">
        <v>708</v>
      </c>
      <c r="C725" s="164" t="s">
        <v>709</v>
      </c>
      <c r="D725" s="165" t="s">
        <v>155</v>
      </c>
      <c r="E725" s="166">
        <v>0.15179999999999999</v>
      </c>
      <c r="F725" s="140"/>
      <c r="G725" s="167">
        <f>ROUND(E725*F725,2)</f>
        <v>0</v>
      </c>
      <c r="H725" s="168"/>
      <c r="I725" s="169">
        <f>ROUND(E725*H725,2)</f>
        <v>0</v>
      </c>
      <c r="J725" s="168"/>
      <c r="K725" s="169">
        <f>ROUND(E725*J725,2)</f>
        <v>0</v>
      </c>
      <c r="L725" s="169">
        <v>21</v>
      </c>
      <c r="M725" s="169">
        <f>G725*(1+L725/100)</f>
        <v>0</v>
      </c>
      <c r="N725" s="170">
        <v>0</v>
      </c>
      <c r="O725" s="170">
        <f>ROUND(E725*N725,2)</f>
        <v>0</v>
      </c>
      <c r="P725" s="170">
        <v>0</v>
      </c>
      <c r="Q725" s="170">
        <f>ROUND(E725*P725,2)</f>
        <v>0</v>
      </c>
      <c r="R725" s="169"/>
      <c r="S725" s="169" t="s">
        <v>710</v>
      </c>
      <c r="T725" s="169" t="s">
        <v>710</v>
      </c>
      <c r="U725" s="169">
        <v>0</v>
      </c>
      <c r="V725" s="169">
        <f>ROUND(E725*U725,2)</f>
        <v>0</v>
      </c>
      <c r="W725" s="169"/>
      <c r="X725" s="169" t="s">
        <v>144</v>
      </c>
      <c r="Y725" s="169" t="s">
        <v>145</v>
      </c>
      <c r="Z725" s="171"/>
      <c r="AA725" s="171"/>
      <c r="AB725" s="171"/>
      <c r="AC725" s="171"/>
      <c r="AD725" s="171"/>
      <c r="AE725" s="171"/>
      <c r="AF725" s="171"/>
      <c r="AG725" s="171" t="s">
        <v>146</v>
      </c>
      <c r="AH725" s="171"/>
      <c r="AI725" s="171"/>
      <c r="AJ725" s="171"/>
      <c r="AK725" s="171"/>
      <c r="AL725" s="171"/>
      <c r="AM725" s="171"/>
      <c r="AN725" s="171"/>
      <c r="AO725" s="171"/>
      <c r="AP725" s="171"/>
      <c r="AQ725" s="171"/>
      <c r="AR725" s="171"/>
      <c r="AS725" s="171"/>
      <c r="AT725" s="171"/>
      <c r="AU725" s="171"/>
      <c r="AV725" s="171"/>
      <c r="AW725" s="171"/>
      <c r="AX725" s="171"/>
      <c r="AY725" s="171"/>
      <c r="AZ725" s="171"/>
      <c r="BA725" s="171"/>
      <c r="BB725" s="171"/>
      <c r="BC725" s="171"/>
      <c r="BD725" s="171"/>
      <c r="BE725" s="171"/>
      <c r="BF725" s="171"/>
      <c r="BG725" s="171"/>
      <c r="BH725" s="171"/>
    </row>
    <row r="726" spans="1:60" outlineLevel="2" x14ac:dyDescent="0.2">
      <c r="A726" s="172"/>
      <c r="B726" s="173"/>
      <c r="C726" s="174" t="s">
        <v>711</v>
      </c>
      <c r="D726" s="175"/>
      <c r="E726" s="176">
        <v>0.15179999999999999</v>
      </c>
      <c r="F726" s="196"/>
      <c r="G726" s="169"/>
      <c r="H726" s="169"/>
      <c r="I726" s="169"/>
      <c r="J726" s="169"/>
      <c r="K726" s="169"/>
      <c r="L726" s="169"/>
      <c r="M726" s="169"/>
      <c r="N726" s="170"/>
      <c r="O726" s="170"/>
      <c r="P726" s="170"/>
      <c r="Q726" s="170"/>
      <c r="R726" s="169"/>
      <c r="S726" s="169"/>
      <c r="T726" s="169"/>
      <c r="U726" s="169"/>
      <c r="V726" s="169"/>
      <c r="W726" s="169"/>
      <c r="X726" s="169"/>
      <c r="Y726" s="169"/>
      <c r="Z726" s="171"/>
      <c r="AA726" s="171"/>
      <c r="AB726" s="171"/>
      <c r="AC726" s="171"/>
      <c r="AD726" s="171"/>
      <c r="AE726" s="171"/>
      <c r="AF726" s="171"/>
      <c r="AG726" s="171" t="s">
        <v>148</v>
      </c>
      <c r="AH726" s="171">
        <v>7</v>
      </c>
      <c r="AI726" s="171"/>
      <c r="AJ726" s="171"/>
      <c r="AK726" s="171"/>
      <c r="AL726" s="171"/>
      <c r="AM726" s="171"/>
      <c r="AN726" s="171"/>
      <c r="AO726" s="171"/>
      <c r="AP726" s="171"/>
      <c r="AQ726" s="171"/>
      <c r="AR726" s="171"/>
      <c r="AS726" s="171"/>
      <c r="AT726" s="171"/>
      <c r="AU726" s="171"/>
      <c r="AV726" s="171"/>
      <c r="AW726" s="171"/>
      <c r="AX726" s="171"/>
      <c r="AY726" s="171"/>
      <c r="AZ726" s="171"/>
      <c r="BA726" s="171"/>
      <c r="BB726" s="171"/>
      <c r="BC726" s="171"/>
      <c r="BD726" s="171"/>
      <c r="BE726" s="171"/>
      <c r="BF726" s="171"/>
      <c r="BG726" s="171"/>
      <c r="BH726" s="171"/>
    </row>
    <row r="727" spans="1:60" ht="22.5" outlineLevel="1" x14ac:dyDescent="0.2">
      <c r="A727" s="162">
        <v>119</v>
      </c>
      <c r="B727" s="163" t="s">
        <v>712</v>
      </c>
      <c r="C727" s="164" t="s">
        <v>713</v>
      </c>
      <c r="D727" s="165" t="s">
        <v>155</v>
      </c>
      <c r="E727" s="166">
        <v>42.551740000000002</v>
      </c>
      <c r="F727" s="140"/>
      <c r="G727" s="167">
        <f>ROUND(E727*F727,2)</f>
        <v>0</v>
      </c>
      <c r="H727" s="168"/>
      <c r="I727" s="169">
        <f>ROUND(E727*H727,2)</f>
        <v>0</v>
      </c>
      <c r="J727" s="168"/>
      <c r="K727" s="169">
        <f>ROUND(E727*J727,2)</f>
        <v>0</v>
      </c>
      <c r="L727" s="169">
        <v>21</v>
      </c>
      <c r="M727" s="169">
        <f>G727*(1+L727/100)</f>
        <v>0</v>
      </c>
      <c r="N727" s="170">
        <v>0</v>
      </c>
      <c r="O727" s="170">
        <f>ROUND(E727*N727,2)</f>
        <v>0</v>
      </c>
      <c r="P727" s="170">
        <v>0</v>
      </c>
      <c r="Q727" s="170">
        <f>ROUND(E727*P727,2)</f>
        <v>0</v>
      </c>
      <c r="R727" s="169"/>
      <c r="S727" s="169" t="s">
        <v>710</v>
      </c>
      <c r="T727" s="169" t="s">
        <v>710</v>
      </c>
      <c r="U727" s="169">
        <v>0</v>
      </c>
      <c r="V727" s="169">
        <f>ROUND(E727*U727,2)</f>
        <v>0</v>
      </c>
      <c r="W727" s="169"/>
      <c r="X727" s="169" t="s">
        <v>144</v>
      </c>
      <c r="Y727" s="169" t="s">
        <v>145</v>
      </c>
      <c r="Z727" s="171"/>
      <c r="AA727" s="171"/>
      <c r="AB727" s="171"/>
      <c r="AC727" s="171"/>
      <c r="AD727" s="171"/>
      <c r="AE727" s="171"/>
      <c r="AF727" s="171"/>
      <c r="AG727" s="171" t="s">
        <v>146</v>
      </c>
      <c r="AH727" s="171"/>
      <c r="AI727" s="171"/>
      <c r="AJ727" s="171"/>
      <c r="AK727" s="171"/>
      <c r="AL727" s="171"/>
      <c r="AM727" s="171"/>
      <c r="AN727" s="171"/>
      <c r="AO727" s="171"/>
      <c r="AP727" s="171"/>
      <c r="AQ727" s="171"/>
      <c r="AR727" s="171"/>
      <c r="AS727" s="171"/>
      <c r="AT727" s="171"/>
      <c r="AU727" s="171"/>
      <c r="AV727" s="171"/>
      <c r="AW727" s="171"/>
      <c r="AX727" s="171"/>
      <c r="AY727" s="171"/>
      <c r="AZ727" s="171"/>
      <c r="BA727" s="171"/>
      <c r="BB727" s="171"/>
      <c r="BC727" s="171"/>
      <c r="BD727" s="171"/>
      <c r="BE727" s="171"/>
      <c r="BF727" s="171"/>
      <c r="BG727" s="171"/>
      <c r="BH727" s="171"/>
    </row>
    <row r="728" spans="1:60" outlineLevel="2" x14ac:dyDescent="0.2">
      <c r="A728" s="172"/>
      <c r="B728" s="173"/>
      <c r="C728" s="174" t="s">
        <v>714</v>
      </c>
      <c r="D728" s="175"/>
      <c r="E728" s="176">
        <v>3.7614200000000002</v>
      </c>
      <c r="F728" s="196"/>
      <c r="G728" s="169"/>
      <c r="H728" s="169"/>
      <c r="I728" s="169"/>
      <c r="J728" s="169"/>
      <c r="K728" s="169"/>
      <c r="L728" s="169"/>
      <c r="M728" s="169"/>
      <c r="N728" s="170"/>
      <c r="O728" s="170"/>
      <c r="P728" s="170"/>
      <c r="Q728" s="170"/>
      <c r="R728" s="169"/>
      <c r="S728" s="169"/>
      <c r="T728" s="169"/>
      <c r="U728" s="169"/>
      <c r="V728" s="169"/>
      <c r="W728" s="169"/>
      <c r="X728" s="169"/>
      <c r="Y728" s="169"/>
      <c r="Z728" s="171"/>
      <c r="AA728" s="171"/>
      <c r="AB728" s="171"/>
      <c r="AC728" s="171"/>
      <c r="AD728" s="171"/>
      <c r="AE728" s="171"/>
      <c r="AF728" s="171"/>
      <c r="AG728" s="171" t="s">
        <v>148</v>
      </c>
      <c r="AH728" s="171">
        <v>7</v>
      </c>
      <c r="AI728" s="171"/>
      <c r="AJ728" s="171"/>
      <c r="AK728" s="171"/>
      <c r="AL728" s="171"/>
      <c r="AM728" s="171"/>
      <c r="AN728" s="171"/>
      <c r="AO728" s="171"/>
      <c r="AP728" s="171"/>
      <c r="AQ728" s="171"/>
      <c r="AR728" s="171"/>
      <c r="AS728" s="171"/>
      <c r="AT728" s="171"/>
      <c r="AU728" s="171"/>
      <c r="AV728" s="171"/>
      <c r="AW728" s="171"/>
      <c r="AX728" s="171"/>
      <c r="AY728" s="171"/>
      <c r="AZ728" s="171"/>
      <c r="BA728" s="171"/>
      <c r="BB728" s="171"/>
      <c r="BC728" s="171"/>
      <c r="BD728" s="171"/>
      <c r="BE728" s="171"/>
      <c r="BF728" s="171"/>
      <c r="BG728" s="171"/>
      <c r="BH728" s="171"/>
    </row>
    <row r="729" spans="1:60" outlineLevel="3" x14ac:dyDescent="0.2">
      <c r="A729" s="172"/>
      <c r="B729" s="173"/>
      <c r="C729" s="174" t="s">
        <v>715</v>
      </c>
      <c r="D729" s="175"/>
      <c r="E729" s="176">
        <v>16.104009999999999</v>
      </c>
      <c r="F729" s="196"/>
      <c r="G729" s="169"/>
      <c r="H729" s="169"/>
      <c r="I729" s="169"/>
      <c r="J729" s="169"/>
      <c r="K729" s="169"/>
      <c r="L729" s="169"/>
      <c r="M729" s="169"/>
      <c r="N729" s="170"/>
      <c r="O729" s="170"/>
      <c r="P729" s="170"/>
      <c r="Q729" s="170"/>
      <c r="R729" s="169"/>
      <c r="S729" s="169"/>
      <c r="T729" s="169"/>
      <c r="U729" s="169"/>
      <c r="V729" s="169"/>
      <c r="W729" s="169"/>
      <c r="X729" s="169"/>
      <c r="Y729" s="169"/>
      <c r="Z729" s="171"/>
      <c r="AA729" s="171"/>
      <c r="AB729" s="171"/>
      <c r="AC729" s="171"/>
      <c r="AD729" s="171"/>
      <c r="AE729" s="171"/>
      <c r="AF729" s="171"/>
      <c r="AG729" s="171" t="s">
        <v>148</v>
      </c>
      <c r="AH729" s="171">
        <v>7</v>
      </c>
      <c r="AI729" s="171"/>
      <c r="AJ729" s="171"/>
      <c r="AK729" s="171"/>
      <c r="AL729" s="171"/>
      <c r="AM729" s="171"/>
      <c r="AN729" s="171"/>
      <c r="AO729" s="171"/>
      <c r="AP729" s="171"/>
      <c r="AQ729" s="171"/>
      <c r="AR729" s="171"/>
      <c r="AS729" s="171"/>
      <c r="AT729" s="171"/>
      <c r="AU729" s="171"/>
      <c r="AV729" s="171"/>
      <c r="AW729" s="171"/>
      <c r="AX729" s="171"/>
      <c r="AY729" s="171"/>
      <c r="AZ729" s="171"/>
      <c r="BA729" s="171"/>
      <c r="BB729" s="171"/>
      <c r="BC729" s="171"/>
      <c r="BD729" s="171"/>
      <c r="BE729" s="171"/>
      <c r="BF729" s="171"/>
      <c r="BG729" s="171"/>
      <c r="BH729" s="171"/>
    </row>
    <row r="730" spans="1:60" outlineLevel="3" x14ac:dyDescent="0.2">
      <c r="A730" s="172"/>
      <c r="B730" s="173"/>
      <c r="C730" s="174" t="s">
        <v>716</v>
      </c>
      <c r="D730" s="175"/>
      <c r="E730" s="176">
        <v>0.21592</v>
      </c>
      <c r="F730" s="196"/>
      <c r="G730" s="169"/>
      <c r="H730" s="169"/>
      <c r="I730" s="169"/>
      <c r="J730" s="169"/>
      <c r="K730" s="169"/>
      <c r="L730" s="169"/>
      <c r="M730" s="169"/>
      <c r="N730" s="170"/>
      <c r="O730" s="170"/>
      <c r="P730" s="170"/>
      <c r="Q730" s="170"/>
      <c r="R730" s="169"/>
      <c r="S730" s="169"/>
      <c r="T730" s="169"/>
      <c r="U730" s="169"/>
      <c r="V730" s="169"/>
      <c r="W730" s="169"/>
      <c r="X730" s="169"/>
      <c r="Y730" s="169"/>
      <c r="Z730" s="171"/>
      <c r="AA730" s="171"/>
      <c r="AB730" s="171"/>
      <c r="AC730" s="171"/>
      <c r="AD730" s="171"/>
      <c r="AE730" s="171"/>
      <c r="AF730" s="171"/>
      <c r="AG730" s="171" t="s">
        <v>148</v>
      </c>
      <c r="AH730" s="171">
        <v>7</v>
      </c>
      <c r="AI730" s="171"/>
      <c r="AJ730" s="171"/>
      <c r="AK730" s="171"/>
      <c r="AL730" s="171"/>
      <c r="AM730" s="171"/>
      <c r="AN730" s="171"/>
      <c r="AO730" s="171"/>
      <c r="AP730" s="171"/>
      <c r="AQ730" s="171"/>
      <c r="AR730" s="171"/>
      <c r="AS730" s="171"/>
      <c r="AT730" s="171"/>
      <c r="AU730" s="171"/>
      <c r="AV730" s="171"/>
      <c r="AW730" s="171"/>
      <c r="AX730" s="171"/>
      <c r="AY730" s="171"/>
      <c r="AZ730" s="171"/>
      <c r="BA730" s="171"/>
      <c r="BB730" s="171"/>
      <c r="BC730" s="171"/>
      <c r="BD730" s="171"/>
      <c r="BE730" s="171"/>
      <c r="BF730" s="171"/>
      <c r="BG730" s="171"/>
      <c r="BH730" s="171"/>
    </row>
    <row r="731" spans="1:60" outlineLevel="3" x14ac:dyDescent="0.2">
      <c r="A731" s="172"/>
      <c r="B731" s="173"/>
      <c r="C731" s="174" t="s">
        <v>717</v>
      </c>
      <c r="D731" s="175"/>
      <c r="E731" s="176">
        <v>0.88358000000000003</v>
      </c>
      <c r="F731" s="196"/>
      <c r="G731" s="169"/>
      <c r="H731" s="169"/>
      <c r="I731" s="169"/>
      <c r="J731" s="169"/>
      <c r="K731" s="169"/>
      <c r="L731" s="169"/>
      <c r="M731" s="169"/>
      <c r="N731" s="170"/>
      <c r="O731" s="170"/>
      <c r="P731" s="170"/>
      <c r="Q731" s="170"/>
      <c r="R731" s="169"/>
      <c r="S731" s="169"/>
      <c r="T731" s="169"/>
      <c r="U731" s="169"/>
      <c r="V731" s="169"/>
      <c r="W731" s="169"/>
      <c r="X731" s="169"/>
      <c r="Y731" s="169"/>
      <c r="Z731" s="171"/>
      <c r="AA731" s="171"/>
      <c r="AB731" s="171"/>
      <c r="AC731" s="171"/>
      <c r="AD731" s="171"/>
      <c r="AE731" s="171"/>
      <c r="AF731" s="171"/>
      <c r="AG731" s="171" t="s">
        <v>148</v>
      </c>
      <c r="AH731" s="171">
        <v>7</v>
      </c>
      <c r="AI731" s="171"/>
      <c r="AJ731" s="171"/>
      <c r="AK731" s="171"/>
      <c r="AL731" s="171"/>
      <c r="AM731" s="171"/>
      <c r="AN731" s="171"/>
      <c r="AO731" s="171"/>
      <c r="AP731" s="171"/>
      <c r="AQ731" s="171"/>
      <c r="AR731" s="171"/>
      <c r="AS731" s="171"/>
      <c r="AT731" s="171"/>
      <c r="AU731" s="171"/>
      <c r="AV731" s="171"/>
      <c r="AW731" s="171"/>
      <c r="AX731" s="171"/>
      <c r="AY731" s="171"/>
      <c r="AZ731" s="171"/>
      <c r="BA731" s="171"/>
      <c r="BB731" s="171"/>
      <c r="BC731" s="171"/>
      <c r="BD731" s="171"/>
      <c r="BE731" s="171"/>
      <c r="BF731" s="171"/>
      <c r="BG731" s="171"/>
      <c r="BH731" s="171"/>
    </row>
    <row r="732" spans="1:60" outlineLevel="3" x14ac:dyDescent="0.2">
      <c r="A732" s="172"/>
      <c r="B732" s="173"/>
      <c r="C732" s="174" t="s">
        <v>718</v>
      </c>
      <c r="D732" s="175"/>
      <c r="E732" s="176">
        <v>2.31732</v>
      </c>
      <c r="F732" s="196"/>
      <c r="G732" s="169"/>
      <c r="H732" s="169"/>
      <c r="I732" s="169"/>
      <c r="J732" s="169"/>
      <c r="K732" s="169"/>
      <c r="L732" s="169"/>
      <c r="M732" s="169"/>
      <c r="N732" s="170"/>
      <c r="O732" s="170"/>
      <c r="P732" s="170"/>
      <c r="Q732" s="170"/>
      <c r="R732" s="169"/>
      <c r="S732" s="169"/>
      <c r="T732" s="169"/>
      <c r="U732" s="169"/>
      <c r="V732" s="169"/>
      <c r="W732" s="169"/>
      <c r="X732" s="169"/>
      <c r="Y732" s="169"/>
      <c r="Z732" s="171"/>
      <c r="AA732" s="171"/>
      <c r="AB732" s="171"/>
      <c r="AC732" s="171"/>
      <c r="AD732" s="171"/>
      <c r="AE732" s="171"/>
      <c r="AF732" s="171"/>
      <c r="AG732" s="171" t="s">
        <v>148</v>
      </c>
      <c r="AH732" s="171">
        <v>7</v>
      </c>
      <c r="AI732" s="171"/>
      <c r="AJ732" s="171"/>
      <c r="AK732" s="171"/>
      <c r="AL732" s="171"/>
      <c r="AM732" s="171"/>
      <c r="AN732" s="171"/>
      <c r="AO732" s="171"/>
      <c r="AP732" s="171"/>
      <c r="AQ732" s="171"/>
      <c r="AR732" s="171"/>
      <c r="AS732" s="171"/>
      <c r="AT732" s="171"/>
      <c r="AU732" s="171"/>
      <c r="AV732" s="171"/>
      <c r="AW732" s="171"/>
      <c r="AX732" s="171"/>
      <c r="AY732" s="171"/>
      <c r="AZ732" s="171"/>
      <c r="BA732" s="171"/>
      <c r="BB732" s="171"/>
      <c r="BC732" s="171"/>
      <c r="BD732" s="171"/>
      <c r="BE732" s="171"/>
      <c r="BF732" s="171"/>
      <c r="BG732" s="171"/>
      <c r="BH732" s="171"/>
    </row>
    <row r="733" spans="1:60" outlineLevel="3" x14ac:dyDescent="0.2">
      <c r="A733" s="172"/>
      <c r="B733" s="173"/>
      <c r="C733" s="174" t="s">
        <v>719</v>
      </c>
      <c r="D733" s="175"/>
      <c r="E733" s="176">
        <v>0.2772</v>
      </c>
      <c r="F733" s="196"/>
      <c r="G733" s="169"/>
      <c r="H733" s="169"/>
      <c r="I733" s="169"/>
      <c r="J733" s="169"/>
      <c r="K733" s="169"/>
      <c r="L733" s="169"/>
      <c r="M733" s="169"/>
      <c r="N733" s="170"/>
      <c r="O733" s="170"/>
      <c r="P733" s="170"/>
      <c r="Q733" s="170"/>
      <c r="R733" s="169"/>
      <c r="S733" s="169"/>
      <c r="T733" s="169"/>
      <c r="U733" s="169"/>
      <c r="V733" s="169"/>
      <c r="W733" s="169"/>
      <c r="X733" s="169"/>
      <c r="Y733" s="169"/>
      <c r="Z733" s="171"/>
      <c r="AA733" s="171"/>
      <c r="AB733" s="171"/>
      <c r="AC733" s="171"/>
      <c r="AD733" s="171"/>
      <c r="AE733" s="171"/>
      <c r="AF733" s="171"/>
      <c r="AG733" s="171" t="s">
        <v>148</v>
      </c>
      <c r="AH733" s="171">
        <v>7</v>
      </c>
      <c r="AI733" s="171"/>
      <c r="AJ733" s="171"/>
      <c r="AK733" s="171"/>
      <c r="AL733" s="171"/>
      <c r="AM733" s="171"/>
      <c r="AN733" s="171"/>
      <c r="AO733" s="171"/>
      <c r="AP733" s="171"/>
      <c r="AQ733" s="171"/>
      <c r="AR733" s="171"/>
      <c r="AS733" s="171"/>
      <c r="AT733" s="171"/>
      <c r="AU733" s="171"/>
      <c r="AV733" s="171"/>
      <c r="AW733" s="171"/>
      <c r="AX733" s="171"/>
      <c r="AY733" s="171"/>
      <c r="AZ733" s="171"/>
      <c r="BA733" s="171"/>
      <c r="BB733" s="171"/>
      <c r="BC733" s="171"/>
      <c r="BD733" s="171"/>
      <c r="BE733" s="171"/>
      <c r="BF733" s="171"/>
      <c r="BG733" s="171"/>
      <c r="BH733" s="171"/>
    </row>
    <row r="734" spans="1:60" outlineLevel="3" x14ac:dyDescent="0.2">
      <c r="A734" s="172"/>
      <c r="B734" s="173"/>
      <c r="C734" s="174" t="s">
        <v>720</v>
      </c>
      <c r="D734" s="175"/>
      <c r="E734" s="176">
        <v>1.3564000000000001</v>
      </c>
      <c r="F734" s="196"/>
      <c r="G734" s="169"/>
      <c r="H734" s="169"/>
      <c r="I734" s="169"/>
      <c r="J734" s="169"/>
      <c r="K734" s="169"/>
      <c r="L734" s="169"/>
      <c r="M734" s="169"/>
      <c r="N734" s="170"/>
      <c r="O734" s="170"/>
      <c r="P734" s="170"/>
      <c r="Q734" s="170"/>
      <c r="R734" s="169"/>
      <c r="S734" s="169"/>
      <c r="T734" s="169"/>
      <c r="U734" s="169"/>
      <c r="V734" s="169"/>
      <c r="W734" s="169"/>
      <c r="X734" s="169"/>
      <c r="Y734" s="169"/>
      <c r="Z734" s="171"/>
      <c r="AA734" s="171"/>
      <c r="AB734" s="171"/>
      <c r="AC734" s="171"/>
      <c r="AD734" s="171"/>
      <c r="AE734" s="171"/>
      <c r="AF734" s="171"/>
      <c r="AG734" s="171" t="s">
        <v>148</v>
      </c>
      <c r="AH734" s="171">
        <v>7</v>
      </c>
      <c r="AI734" s="171"/>
      <c r="AJ734" s="171"/>
      <c r="AK734" s="171"/>
      <c r="AL734" s="171"/>
      <c r="AM734" s="171"/>
      <c r="AN734" s="171"/>
      <c r="AO734" s="171"/>
      <c r="AP734" s="171"/>
      <c r="AQ734" s="171"/>
      <c r="AR734" s="171"/>
      <c r="AS734" s="171"/>
      <c r="AT734" s="171"/>
      <c r="AU734" s="171"/>
      <c r="AV734" s="171"/>
      <c r="AW734" s="171"/>
      <c r="AX734" s="171"/>
      <c r="AY734" s="171"/>
      <c r="AZ734" s="171"/>
      <c r="BA734" s="171"/>
      <c r="BB734" s="171"/>
      <c r="BC734" s="171"/>
      <c r="BD734" s="171"/>
      <c r="BE734" s="171"/>
      <c r="BF734" s="171"/>
      <c r="BG734" s="171"/>
      <c r="BH734" s="171"/>
    </row>
    <row r="735" spans="1:60" outlineLevel="3" x14ac:dyDescent="0.2">
      <c r="A735" s="172"/>
      <c r="B735" s="173"/>
      <c r="C735" s="174" t="s">
        <v>721</v>
      </c>
      <c r="D735" s="175"/>
      <c r="E735" s="176">
        <v>6.2989899999999999</v>
      </c>
      <c r="F735" s="196"/>
      <c r="G735" s="169"/>
      <c r="H735" s="169"/>
      <c r="I735" s="169"/>
      <c r="J735" s="169"/>
      <c r="K735" s="169"/>
      <c r="L735" s="169"/>
      <c r="M735" s="169"/>
      <c r="N735" s="170"/>
      <c r="O735" s="170"/>
      <c r="P735" s="170"/>
      <c r="Q735" s="170"/>
      <c r="R735" s="169"/>
      <c r="S735" s="169"/>
      <c r="T735" s="169"/>
      <c r="U735" s="169"/>
      <c r="V735" s="169"/>
      <c r="W735" s="169"/>
      <c r="X735" s="169"/>
      <c r="Y735" s="169"/>
      <c r="Z735" s="171"/>
      <c r="AA735" s="171"/>
      <c r="AB735" s="171"/>
      <c r="AC735" s="171"/>
      <c r="AD735" s="171"/>
      <c r="AE735" s="171"/>
      <c r="AF735" s="171"/>
      <c r="AG735" s="171" t="s">
        <v>148</v>
      </c>
      <c r="AH735" s="171">
        <v>7</v>
      </c>
      <c r="AI735" s="171"/>
      <c r="AJ735" s="171"/>
      <c r="AK735" s="171"/>
      <c r="AL735" s="171"/>
      <c r="AM735" s="171"/>
      <c r="AN735" s="171"/>
      <c r="AO735" s="171"/>
      <c r="AP735" s="171"/>
      <c r="AQ735" s="171"/>
      <c r="AR735" s="171"/>
      <c r="AS735" s="171"/>
      <c r="AT735" s="171"/>
      <c r="AU735" s="171"/>
      <c r="AV735" s="171"/>
      <c r="AW735" s="171"/>
      <c r="AX735" s="171"/>
      <c r="AY735" s="171"/>
      <c r="AZ735" s="171"/>
      <c r="BA735" s="171"/>
      <c r="BB735" s="171"/>
      <c r="BC735" s="171"/>
      <c r="BD735" s="171"/>
      <c r="BE735" s="171"/>
      <c r="BF735" s="171"/>
      <c r="BG735" s="171"/>
      <c r="BH735" s="171"/>
    </row>
    <row r="736" spans="1:60" outlineLevel="3" x14ac:dyDescent="0.2">
      <c r="A736" s="172"/>
      <c r="B736" s="173"/>
      <c r="C736" s="174" t="s">
        <v>722</v>
      </c>
      <c r="D736" s="175"/>
      <c r="E736" s="176">
        <v>11.3369</v>
      </c>
      <c r="F736" s="196"/>
      <c r="G736" s="169"/>
      <c r="H736" s="169"/>
      <c r="I736" s="169"/>
      <c r="J736" s="169"/>
      <c r="K736" s="169"/>
      <c r="L736" s="169"/>
      <c r="M736" s="169"/>
      <c r="N736" s="170"/>
      <c r="O736" s="170"/>
      <c r="P736" s="170"/>
      <c r="Q736" s="170"/>
      <c r="R736" s="169"/>
      <c r="S736" s="169"/>
      <c r="T736" s="169"/>
      <c r="U736" s="169"/>
      <c r="V736" s="169"/>
      <c r="W736" s="169"/>
      <c r="X736" s="169"/>
      <c r="Y736" s="169"/>
      <c r="Z736" s="171"/>
      <c r="AA736" s="171"/>
      <c r="AB736" s="171"/>
      <c r="AC736" s="171"/>
      <c r="AD736" s="171"/>
      <c r="AE736" s="171"/>
      <c r="AF736" s="171"/>
      <c r="AG736" s="171" t="s">
        <v>148</v>
      </c>
      <c r="AH736" s="171">
        <v>7</v>
      </c>
      <c r="AI736" s="171"/>
      <c r="AJ736" s="171"/>
      <c r="AK736" s="171"/>
      <c r="AL736" s="171"/>
      <c r="AM736" s="171"/>
      <c r="AN736" s="171"/>
      <c r="AO736" s="171"/>
      <c r="AP736" s="171"/>
      <c r="AQ736" s="171"/>
      <c r="AR736" s="171"/>
      <c r="AS736" s="171"/>
      <c r="AT736" s="171"/>
      <c r="AU736" s="171"/>
      <c r="AV736" s="171"/>
      <c r="AW736" s="171"/>
      <c r="AX736" s="171"/>
      <c r="AY736" s="171"/>
      <c r="AZ736" s="171"/>
      <c r="BA736" s="171"/>
      <c r="BB736" s="171"/>
      <c r="BC736" s="171"/>
      <c r="BD736" s="171"/>
      <c r="BE736" s="171"/>
      <c r="BF736" s="171"/>
      <c r="BG736" s="171"/>
      <c r="BH736" s="171"/>
    </row>
    <row r="737" spans="1:60" ht="22.5" outlineLevel="1" x14ac:dyDescent="0.2">
      <c r="A737" s="162">
        <v>120</v>
      </c>
      <c r="B737" s="163" t="s">
        <v>723</v>
      </c>
      <c r="C737" s="164" t="s">
        <v>724</v>
      </c>
      <c r="D737" s="165" t="s">
        <v>155</v>
      </c>
      <c r="E737" s="166">
        <v>0.2898</v>
      </c>
      <c r="F737" s="140"/>
      <c r="G737" s="167">
        <f>ROUND(E737*F737,2)</f>
        <v>0</v>
      </c>
      <c r="H737" s="168"/>
      <c r="I737" s="169">
        <f>ROUND(E737*H737,2)</f>
        <v>0</v>
      </c>
      <c r="J737" s="168"/>
      <c r="K737" s="169">
        <f>ROUND(E737*J737,2)</f>
        <v>0</v>
      </c>
      <c r="L737" s="169">
        <v>21</v>
      </c>
      <c r="M737" s="169">
        <f>G737*(1+L737/100)</f>
        <v>0</v>
      </c>
      <c r="N737" s="170">
        <v>0</v>
      </c>
      <c r="O737" s="170">
        <f>ROUND(E737*N737,2)</f>
        <v>0</v>
      </c>
      <c r="P737" s="170">
        <v>0</v>
      </c>
      <c r="Q737" s="170">
        <f>ROUND(E737*P737,2)</f>
        <v>0</v>
      </c>
      <c r="R737" s="169"/>
      <c r="S737" s="169" t="s">
        <v>710</v>
      </c>
      <c r="T737" s="169" t="s">
        <v>710</v>
      </c>
      <c r="U737" s="169">
        <v>0</v>
      </c>
      <c r="V737" s="169">
        <f>ROUND(E737*U737,2)</f>
        <v>0</v>
      </c>
      <c r="W737" s="169"/>
      <c r="X737" s="169" t="s">
        <v>144</v>
      </c>
      <c r="Y737" s="169" t="s">
        <v>145</v>
      </c>
      <c r="Z737" s="171"/>
      <c r="AA737" s="171"/>
      <c r="AB737" s="171"/>
      <c r="AC737" s="171"/>
      <c r="AD737" s="171"/>
      <c r="AE737" s="171"/>
      <c r="AF737" s="171"/>
      <c r="AG737" s="171" t="s">
        <v>146</v>
      </c>
      <c r="AH737" s="171"/>
      <c r="AI737" s="171"/>
      <c r="AJ737" s="171"/>
      <c r="AK737" s="171"/>
      <c r="AL737" s="171"/>
      <c r="AM737" s="171"/>
      <c r="AN737" s="171"/>
      <c r="AO737" s="171"/>
      <c r="AP737" s="171"/>
      <c r="AQ737" s="171"/>
      <c r="AR737" s="171"/>
      <c r="AS737" s="171"/>
      <c r="AT737" s="171"/>
      <c r="AU737" s="171"/>
      <c r="AV737" s="171"/>
      <c r="AW737" s="171"/>
      <c r="AX737" s="171"/>
      <c r="AY737" s="171"/>
      <c r="AZ737" s="171"/>
      <c r="BA737" s="171"/>
      <c r="BB737" s="171"/>
      <c r="BC737" s="171"/>
      <c r="BD737" s="171"/>
      <c r="BE737" s="171"/>
      <c r="BF737" s="171"/>
      <c r="BG737" s="171"/>
      <c r="BH737" s="171"/>
    </row>
    <row r="738" spans="1:60" outlineLevel="2" x14ac:dyDescent="0.2">
      <c r="A738" s="172"/>
      <c r="B738" s="173"/>
      <c r="C738" s="174" t="s">
        <v>725</v>
      </c>
      <c r="D738" s="175"/>
      <c r="E738" s="176">
        <v>0.2898</v>
      </c>
      <c r="F738" s="196"/>
      <c r="G738" s="169"/>
      <c r="H738" s="169"/>
      <c r="I738" s="169"/>
      <c r="J738" s="169"/>
      <c r="K738" s="169"/>
      <c r="L738" s="169"/>
      <c r="M738" s="169"/>
      <c r="N738" s="170"/>
      <c r="O738" s="170"/>
      <c r="P738" s="170"/>
      <c r="Q738" s="170"/>
      <c r="R738" s="169"/>
      <c r="S738" s="169"/>
      <c r="T738" s="169"/>
      <c r="U738" s="169"/>
      <c r="V738" s="169"/>
      <c r="W738" s="169"/>
      <c r="X738" s="169"/>
      <c r="Y738" s="169"/>
      <c r="Z738" s="171"/>
      <c r="AA738" s="171"/>
      <c r="AB738" s="171"/>
      <c r="AC738" s="171"/>
      <c r="AD738" s="171"/>
      <c r="AE738" s="171"/>
      <c r="AF738" s="171"/>
      <c r="AG738" s="171" t="s">
        <v>148</v>
      </c>
      <c r="AH738" s="171">
        <v>7</v>
      </c>
      <c r="AI738" s="171"/>
      <c r="AJ738" s="171"/>
      <c r="AK738" s="171"/>
      <c r="AL738" s="171"/>
      <c r="AM738" s="171"/>
      <c r="AN738" s="171"/>
      <c r="AO738" s="171"/>
      <c r="AP738" s="171"/>
      <c r="AQ738" s="171"/>
      <c r="AR738" s="171"/>
      <c r="AS738" s="171"/>
      <c r="AT738" s="171"/>
      <c r="AU738" s="171"/>
      <c r="AV738" s="171"/>
      <c r="AW738" s="171"/>
      <c r="AX738" s="171"/>
      <c r="AY738" s="171"/>
      <c r="AZ738" s="171"/>
      <c r="BA738" s="171"/>
      <c r="BB738" s="171"/>
      <c r="BC738" s="171"/>
      <c r="BD738" s="171"/>
      <c r="BE738" s="171"/>
      <c r="BF738" s="171"/>
      <c r="BG738" s="171"/>
      <c r="BH738" s="171"/>
    </row>
    <row r="739" spans="1:60" ht="22.5" outlineLevel="1" x14ac:dyDescent="0.2">
      <c r="A739" s="162">
        <v>121</v>
      </c>
      <c r="B739" s="163" t="s">
        <v>726</v>
      </c>
      <c r="C739" s="164" t="s">
        <v>727</v>
      </c>
      <c r="D739" s="165" t="s">
        <v>155</v>
      </c>
      <c r="E739" s="166">
        <v>9.937E-2</v>
      </c>
      <c r="F739" s="140"/>
      <c r="G739" s="167">
        <f>ROUND(E739*F739,2)</f>
        <v>0</v>
      </c>
      <c r="H739" s="168"/>
      <c r="I739" s="169">
        <f>ROUND(E739*H739,2)</f>
        <v>0</v>
      </c>
      <c r="J739" s="168"/>
      <c r="K739" s="169">
        <f>ROUND(E739*J739,2)</f>
        <v>0</v>
      </c>
      <c r="L739" s="169">
        <v>21</v>
      </c>
      <c r="M739" s="169">
        <f>G739*(1+L739/100)</f>
        <v>0</v>
      </c>
      <c r="N739" s="170">
        <v>0</v>
      </c>
      <c r="O739" s="170">
        <f>ROUND(E739*N739,2)</f>
        <v>0</v>
      </c>
      <c r="P739" s="170">
        <v>0</v>
      </c>
      <c r="Q739" s="170">
        <f>ROUND(E739*P739,2)</f>
        <v>0</v>
      </c>
      <c r="R739" s="169"/>
      <c r="S739" s="169" t="s">
        <v>143</v>
      </c>
      <c r="T739" s="169" t="s">
        <v>143</v>
      </c>
      <c r="U739" s="169">
        <v>0</v>
      </c>
      <c r="V739" s="169">
        <f>ROUND(E739*U739,2)</f>
        <v>0</v>
      </c>
      <c r="W739" s="169"/>
      <c r="X739" s="169" t="s">
        <v>144</v>
      </c>
      <c r="Y739" s="169" t="s">
        <v>145</v>
      </c>
      <c r="Z739" s="171"/>
      <c r="AA739" s="171"/>
      <c r="AB739" s="171"/>
      <c r="AC739" s="171"/>
      <c r="AD739" s="171"/>
      <c r="AE739" s="171"/>
      <c r="AF739" s="171"/>
      <c r="AG739" s="171" t="s">
        <v>146</v>
      </c>
      <c r="AH739" s="171"/>
      <c r="AI739" s="171"/>
      <c r="AJ739" s="171"/>
      <c r="AK739" s="171"/>
      <c r="AL739" s="171"/>
      <c r="AM739" s="171"/>
      <c r="AN739" s="171"/>
      <c r="AO739" s="171"/>
      <c r="AP739" s="171"/>
      <c r="AQ739" s="171"/>
      <c r="AR739" s="171"/>
      <c r="AS739" s="171"/>
      <c r="AT739" s="171"/>
      <c r="AU739" s="171"/>
      <c r="AV739" s="171"/>
      <c r="AW739" s="171"/>
      <c r="AX739" s="171"/>
      <c r="AY739" s="171"/>
      <c r="AZ739" s="171"/>
      <c r="BA739" s="171"/>
      <c r="BB739" s="171"/>
      <c r="BC739" s="171"/>
      <c r="BD739" s="171"/>
      <c r="BE739" s="171"/>
      <c r="BF739" s="171"/>
      <c r="BG739" s="171"/>
      <c r="BH739" s="171"/>
    </row>
    <row r="740" spans="1:60" outlineLevel="2" x14ac:dyDescent="0.2">
      <c r="A740" s="172"/>
      <c r="B740" s="173"/>
      <c r="C740" s="174" t="s">
        <v>728</v>
      </c>
      <c r="D740" s="175"/>
      <c r="E740" s="176">
        <v>9.937E-2</v>
      </c>
      <c r="F740" s="196"/>
      <c r="G740" s="169"/>
      <c r="H740" s="169"/>
      <c r="I740" s="169"/>
      <c r="J740" s="169"/>
      <c r="K740" s="169"/>
      <c r="L740" s="169"/>
      <c r="M740" s="169"/>
      <c r="N740" s="170"/>
      <c r="O740" s="170"/>
      <c r="P740" s="170"/>
      <c r="Q740" s="170"/>
      <c r="R740" s="169"/>
      <c r="S740" s="169"/>
      <c r="T740" s="169"/>
      <c r="U740" s="169"/>
      <c r="V740" s="169"/>
      <c r="W740" s="169"/>
      <c r="X740" s="169"/>
      <c r="Y740" s="169"/>
      <c r="Z740" s="171"/>
      <c r="AA740" s="171"/>
      <c r="AB740" s="171"/>
      <c r="AC740" s="171"/>
      <c r="AD740" s="171"/>
      <c r="AE740" s="171"/>
      <c r="AF740" s="171"/>
      <c r="AG740" s="171" t="s">
        <v>148</v>
      </c>
      <c r="AH740" s="171">
        <v>7</v>
      </c>
      <c r="AI740" s="171"/>
      <c r="AJ740" s="171"/>
      <c r="AK740" s="171"/>
      <c r="AL740" s="171"/>
      <c r="AM740" s="171"/>
      <c r="AN740" s="171"/>
      <c r="AO740" s="171"/>
      <c r="AP740" s="171"/>
      <c r="AQ740" s="171"/>
      <c r="AR740" s="171"/>
      <c r="AS740" s="171"/>
      <c r="AT740" s="171"/>
      <c r="AU740" s="171"/>
      <c r="AV740" s="171"/>
      <c r="AW740" s="171"/>
      <c r="AX740" s="171"/>
      <c r="AY740" s="171"/>
      <c r="AZ740" s="171"/>
      <c r="BA740" s="171"/>
      <c r="BB740" s="171"/>
      <c r="BC740" s="171"/>
      <c r="BD740" s="171"/>
      <c r="BE740" s="171"/>
      <c r="BF740" s="171"/>
      <c r="BG740" s="171"/>
      <c r="BH740" s="171"/>
    </row>
    <row r="741" spans="1:60" ht="22.5" outlineLevel="1" x14ac:dyDescent="0.2">
      <c r="A741" s="162">
        <v>122</v>
      </c>
      <c r="B741" s="163" t="s">
        <v>729</v>
      </c>
      <c r="C741" s="164" t="s">
        <v>730</v>
      </c>
      <c r="D741" s="165" t="s">
        <v>155</v>
      </c>
      <c r="E741" s="166">
        <v>15.10552</v>
      </c>
      <c r="F741" s="140"/>
      <c r="G741" s="167">
        <f>ROUND(E741*F741,2)</f>
        <v>0</v>
      </c>
      <c r="H741" s="168"/>
      <c r="I741" s="169">
        <f>ROUND(E741*H741,2)</f>
        <v>0</v>
      </c>
      <c r="J741" s="168"/>
      <c r="K741" s="169">
        <f>ROUND(E741*J741,2)</f>
        <v>0</v>
      </c>
      <c r="L741" s="169">
        <v>21</v>
      </c>
      <c r="M741" s="169">
        <f>G741*(1+L741/100)</f>
        <v>0</v>
      </c>
      <c r="N741" s="170">
        <v>0</v>
      </c>
      <c r="O741" s="170">
        <f>ROUND(E741*N741,2)</f>
        <v>0</v>
      </c>
      <c r="P741" s="170">
        <v>0</v>
      </c>
      <c r="Q741" s="170">
        <f>ROUND(E741*P741,2)</f>
        <v>0</v>
      </c>
      <c r="R741" s="169"/>
      <c r="S741" s="169" t="s">
        <v>710</v>
      </c>
      <c r="T741" s="169" t="s">
        <v>710</v>
      </c>
      <c r="U741" s="169">
        <v>0</v>
      </c>
      <c r="V741" s="169">
        <f>ROUND(E741*U741,2)</f>
        <v>0</v>
      </c>
      <c r="W741" s="169"/>
      <c r="X741" s="169" t="s">
        <v>144</v>
      </c>
      <c r="Y741" s="169" t="s">
        <v>145</v>
      </c>
      <c r="Z741" s="171"/>
      <c r="AA741" s="171"/>
      <c r="AB741" s="171"/>
      <c r="AC741" s="171"/>
      <c r="AD741" s="171"/>
      <c r="AE741" s="171"/>
      <c r="AF741" s="171"/>
      <c r="AG741" s="171" t="s">
        <v>146</v>
      </c>
      <c r="AH741" s="171"/>
      <c r="AI741" s="171"/>
      <c r="AJ741" s="171"/>
      <c r="AK741" s="171"/>
      <c r="AL741" s="171"/>
      <c r="AM741" s="171"/>
      <c r="AN741" s="171"/>
      <c r="AO741" s="171"/>
      <c r="AP741" s="171"/>
      <c r="AQ741" s="171"/>
      <c r="AR741" s="171"/>
      <c r="AS741" s="171"/>
      <c r="AT741" s="171"/>
      <c r="AU741" s="171"/>
      <c r="AV741" s="171"/>
      <c r="AW741" s="171"/>
      <c r="AX741" s="171"/>
      <c r="AY741" s="171"/>
      <c r="AZ741" s="171"/>
      <c r="BA741" s="171"/>
      <c r="BB741" s="171"/>
      <c r="BC741" s="171"/>
      <c r="BD741" s="171"/>
      <c r="BE741" s="171"/>
      <c r="BF741" s="171"/>
      <c r="BG741" s="171"/>
      <c r="BH741" s="171"/>
    </row>
    <row r="742" spans="1:60" outlineLevel="2" x14ac:dyDescent="0.2">
      <c r="A742" s="172"/>
      <c r="B742" s="173"/>
      <c r="C742" s="174" t="s">
        <v>731</v>
      </c>
      <c r="D742" s="175"/>
      <c r="E742" s="176">
        <v>2.46767</v>
      </c>
      <c r="F742" s="196"/>
      <c r="G742" s="169"/>
      <c r="H742" s="169"/>
      <c r="I742" s="169"/>
      <c r="J742" s="169"/>
      <c r="K742" s="169"/>
      <c r="L742" s="169"/>
      <c r="M742" s="169"/>
      <c r="N742" s="170"/>
      <c r="O742" s="170"/>
      <c r="P742" s="170"/>
      <c r="Q742" s="170"/>
      <c r="R742" s="169"/>
      <c r="S742" s="169"/>
      <c r="T742" s="169"/>
      <c r="U742" s="169"/>
      <c r="V742" s="169"/>
      <c r="W742" s="169"/>
      <c r="X742" s="169"/>
      <c r="Y742" s="169"/>
      <c r="Z742" s="171"/>
      <c r="AA742" s="171"/>
      <c r="AB742" s="171"/>
      <c r="AC742" s="171"/>
      <c r="AD742" s="171"/>
      <c r="AE742" s="171"/>
      <c r="AF742" s="171"/>
      <c r="AG742" s="171" t="s">
        <v>148</v>
      </c>
      <c r="AH742" s="171">
        <v>7</v>
      </c>
      <c r="AI742" s="171"/>
      <c r="AJ742" s="171"/>
      <c r="AK742" s="171"/>
      <c r="AL742" s="171"/>
      <c r="AM742" s="171"/>
      <c r="AN742" s="171"/>
      <c r="AO742" s="171"/>
      <c r="AP742" s="171"/>
      <c r="AQ742" s="171"/>
      <c r="AR742" s="171"/>
      <c r="AS742" s="171"/>
      <c r="AT742" s="171"/>
      <c r="AU742" s="171"/>
      <c r="AV742" s="171"/>
      <c r="AW742" s="171"/>
      <c r="AX742" s="171"/>
      <c r="AY742" s="171"/>
      <c r="AZ742" s="171"/>
      <c r="BA742" s="171"/>
      <c r="BB742" s="171"/>
      <c r="BC742" s="171"/>
      <c r="BD742" s="171"/>
      <c r="BE742" s="171"/>
      <c r="BF742" s="171"/>
      <c r="BG742" s="171"/>
      <c r="BH742" s="171"/>
    </row>
    <row r="743" spans="1:60" outlineLevel="3" x14ac:dyDescent="0.2">
      <c r="A743" s="172"/>
      <c r="B743" s="173"/>
      <c r="C743" s="174" t="s">
        <v>732</v>
      </c>
      <c r="D743" s="175"/>
      <c r="E743" s="176">
        <v>12.63785</v>
      </c>
      <c r="F743" s="196"/>
      <c r="G743" s="169"/>
      <c r="H743" s="169"/>
      <c r="I743" s="169"/>
      <c r="J743" s="169"/>
      <c r="K743" s="169"/>
      <c r="L743" s="169"/>
      <c r="M743" s="169"/>
      <c r="N743" s="170"/>
      <c r="O743" s="170"/>
      <c r="P743" s="170"/>
      <c r="Q743" s="170"/>
      <c r="R743" s="169"/>
      <c r="S743" s="169"/>
      <c r="T743" s="169"/>
      <c r="U743" s="169"/>
      <c r="V743" s="169"/>
      <c r="W743" s="169"/>
      <c r="X743" s="169"/>
      <c r="Y743" s="169"/>
      <c r="Z743" s="171"/>
      <c r="AA743" s="171"/>
      <c r="AB743" s="171"/>
      <c r="AC743" s="171"/>
      <c r="AD743" s="171"/>
      <c r="AE743" s="171"/>
      <c r="AF743" s="171"/>
      <c r="AG743" s="171" t="s">
        <v>148</v>
      </c>
      <c r="AH743" s="171">
        <v>7</v>
      </c>
      <c r="AI743" s="171"/>
      <c r="AJ743" s="171"/>
      <c r="AK743" s="171"/>
      <c r="AL743" s="171"/>
      <c r="AM743" s="171"/>
      <c r="AN743" s="171"/>
      <c r="AO743" s="171"/>
      <c r="AP743" s="171"/>
      <c r="AQ743" s="171"/>
      <c r="AR743" s="171"/>
      <c r="AS743" s="171"/>
      <c r="AT743" s="171"/>
      <c r="AU743" s="171"/>
      <c r="AV743" s="171"/>
      <c r="AW743" s="171"/>
      <c r="AX743" s="171"/>
      <c r="AY743" s="171"/>
      <c r="AZ743" s="171"/>
      <c r="BA743" s="171"/>
      <c r="BB743" s="171"/>
      <c r="BC743" s="171"/>
      <c r="BD743" s="171"/>
      <c r="BE743" s="171"/>
      <c r="BF743" s="171"/>
      <c r="BG743" s="171"/>
      <c r="BH743" s="171"/>
    </row>
    <row r="744" spans="1:60" ht="22.5" outlineLevel="1" x14ac:dyDescent="0.2">
      <c r="A744" s="162">
        <v>123</v>
      </c>
      <c r="B744" s="163" t="s">
        <v>733</v>
      </c>
      <c r="C744" s="164" t="s">
        <v>734</v>
      </c>
      <c r="D744" s="165" t="s">
        <v>155</v>
      </c>
      <c r="E744" s="166">
        <v>3.1700000000000001E-3</v>
      </c>
      <c r="F744" s="140"/>
      <c r="G744" s="167">
        <f>ROUND(E744*F744,2)</f>
        <v>0</v>
      </c>
      <c r="H744" s="168"/>
      <c r="I744" s="169">
        <f>ROUND(E744*H744,2)</f>
        <v>0</v>
      </c>
      <c r="J744" s="168"/>
      <c r="K744" s="169">
        <f>ROUND(E744*J744,2)</f>
        <v>0</v>
      </c>
      <c r="L744" s="169">
        <v>21</v>
      </c>
      <c r="M744" s="169">
        <f>G744*(1+L744/100)</f>
        <v>0</v>
      </c>
      <c r="N744" s="170">
        <v>0</v>
      </c>
      <c r="O744" s="170">
        <f>ROUND(E744*N744,2)</f>
        <v>0</v>
      </c>
      <c r="P744" s="170">
        <v>0</v>
      </c>
      <c r="Q744" s="170">
        <f>ROUND(E744*P744,2)</f>
        <v>0</v>
      </c>
      <c r="R744" s="169"/>
      <c r="S744" s="169" t="s">
        <v>143</v>
      </c>
      <c r="T744" s="169" t="s">
        <v>143</v>
      </c>
      <c r="U744" s="169">
        <v>0</v>
      </c>
      <c r="V744" s="169">
        <f>ROUND(E744*U744,2)</f>
        <v>0</v>
      </c>
      <c r="W744" s="169"/>
      <c r="X744" s="169" t="s">
        <v>144</v>
      </c>
      <c r="Y744" s="169" t="s">
        <v>145</v>
      </c>
      <c r="Z744" s="171"/>
      <c r="AA744" s="171"/>
      <c r="AB744" s="171"/>
      <c r="AC744" s="171"/>
      <c r="AD744" s="171"/>
      <c r="AE744" s="171"/>
      <c r="AF744" s="171"/>
      <c r="AG744" s="171" t="s">
        <v>146</v>
      </c>
      <c r="AH744" s="171"/>
      <c r="AI744" s="171"/>
      <c r="AJ744" s="171"/>
      <c r="AK744" s="171"/>
      <c r="AL744" s="171"/>
      <c r="AM744" s="171"/>
      <c r="AN744" s="171"/>
      <c r="AO744" s="171"/>
      <c r="AP744" s="171"/>
      <c r="AQ744" s="171"/>
      <c r="AR744" s="171"/>
      <c r="AS744" s="171"/>
      <c r="AT744" s="171"/>
      <c r="AU744" s="171"/>
      <c r="AV744" s="171"/>
      <c r="AW744" s="171"/>
      <c r="AX744" s="171"/>
      <c r="AY744" s="171"/>
      <c r="AZ744" s="171"/>
      <c r="BA744" s="171"/>
      <c r="BB744" s="171"/>
      <c r="BC744" s="171"/>
      <c r="BD744" s="171"/>
      <c r="BE744" s="171"/>
      <c r="BF744" s="171"/>
      <c r="BG744" s="171"/>
      <c r="BH744" s="171"/>
    </row>
    <row r="745" spans="1:60" outlineLevel="2" x14ac:dyDescent="0.2">
      <c r="A745" s="172"/>
      <c r="B745" s="173"/>
      <c r="C745" s="174" t="s">
        <v>735</v>
      </c>
      <c r="D745" s="175"/>
      <c r="E745" s="176">
        <v>3.1700000000000001E-3</v>
      </c>
      <c r="F745" s="196"/>
      <c r="G745" s="169"/>
      <c r="H745" s="169"/>
      <c r="I745" s="169"/>
      <c r="J745" s="169"/>
      <c r="K745" s="169"/>
      <c r="L745" s="169"/>
      <c r="M745" s="169"/>
      <c r="N745" s="170"/>
      <c r="O745" s="170"/>
      <c r="P745" s="170"/>
      <c r="Q745" s="170"/>
      <c r="R745" s="169"/>
      <c r="S745" s="169"/>
      <c r="T745" s="169"/>
      <c r="U745" s="169"/>
      <c r="V745" s="169"/>
      <c r="W745" s="169"/>
      <c r="X745" s="169"/>
      <c r="Y745" s="169"/>
      <c r="Z745" s="171"/>
      <c r="AA745" s="171"/>
      <c r="AB745" s="171"/>
      <c r="AC745" s="171"/>
      <c r="AD745" s="171"/>
      <c r="AE745" s="171"/>
      <c r="AF745" s="171"/>
      <c r="AG745" s="171" t="s">
        <v>148</v>
      </c>
      <c r="AH745" s="171">
        <v>7</v>
      </c>
      <c r="AI745" s="171"/>
      <c r="AJ745" s="171"/>
      <c r="AK745" s="171"/>
      <c r="AL745" s="171"/>
      <c r="AM745" s="171"/>
      <c r="AN745" s="171"/>
      <c r="AO745" s="171"/>
      <c r="AP745" s="171"/>
      <c r="AQ745" s="171"/>
      <c r="AR745" s="171"/>
      <c r="AS745" s="171"/>
      <c r="AT745" s="171"/>
      <c r="AU745" s="171"/>
      <c r="AV745" s="171"/>
      <c r="AW745" s="171"/>
      <c r="AX745" s="171"/>
      <c r="AY745" s="171"/>
      <c r="AZ745" s="171"/>
      <c r="BA745" s="171"/>
      <c r="BB745" s="171"/>
      <c r="BC745" s="171"/>
      <c r="BD745" s="171"/>
      <c r="BE745" s="171"/>
      <c r="BF745" s="171"/>
      <c r="BG745" s="171"/>
      <c r="BH745" s="171"/>
    </row>
    <row r="746" spans="1:60" ht="22.5" outlineLevel="1" x14ac:dyDescent="0.2">
      <c r="A746" s="162">
        <v>124</v>
      </c>
      <c r="B746" s="163" t="s">
        <v>736</v>
      </c>
      <c r="C746" s="164" t="s">
        <v>737</v>
      </c>
      <c r="D746" s="165" t="s">
        <v>155</v>
      </c>
      <c r="E746" s="166">
        <v>1.29461</v>
      </c>
      <c r="F746" s="140"/>
      <c r="G746" s="167">
        <f>ROUND(E746*F746,2)</f>
        <v>0</v>
      </c>
      <c r="H746" s="168"/>
      <c r="I746" s="169">
        <f>ROUND(E746*H746,2)</f>
        <v>0</v>
      </c>
      <c r="J746" s="168"/>
      <c r="K746" s="169">
        <f>ROUND(E746*J746,2)</f>
        <v>0</v>
      </c>
      <c r="L746" s="169">
        <v>21</v>
      </c>
      <c r="M746" s="169">
        <f>G746*(1+L746/100)</f>
        <v>0</v>
      </c>
      <c r="N746" s="170">
        <v>0</v>
      </c>
      <c r="O746" s="170">
        <f>ROUND(E746*N746,2)</f>
        <v>0</v>
      </c>
      <c r="P746" s="170">
        <v>0</v>
      </c>
      <c r="Q746" s="170">
        <f>ROUND(E746*P746,2)</f>
        <v>0</v>
      </c>
      <c r="R746" s="169"/>
      <c r="S746" s="169" t="s">
        <v>143</v>
      </c>
      <c r="T746" s="169" t="s">
        <v>143</v>
      </c>
      <c r="U746" s="169">
        <v>0</v>
      </c>
      <c r="V746" s="169">
        <f>ROUND(E746*U746,2)</f>
        <v>0</v>
      </c>
      <c r="W746" s="169"/>
      <c r="X746" s="169" t="s">
        <v>144</v>
      </c>
      <c r="Y746" s="169" t="s">
        <v>145</v>
      </c>
      <c r="Z746" s="171"/>
      <c r="AA746" s="171"/>
      <c r="AB746" s="171"/>
      <c r="AC746" s="171"/>
      <c r="AD746" s="171"/>
      <c r="AE746" s="171"/>
      <c r="AF746" s="171"/>
      <c r="AG746" s="171" t="s">
        <v>146</v>
      </c>
      <c r="AH746" s="171"/>
      <c r="AI746" s="171"/>
      <c r="AJ746" s="171"/>
      <c r="AK746" s="171"/>
      <c r="AL746" s="171"/>
      <c r="AM746" s="171"/>
      <c r="AN746" s="171"/>
      <c r="AO746" s="171"/>
      <c r="AP746" s="171"/>
      <c r="AQ746" s="171"/>
      <c r="AR746" s="171"/>
      <c r="AS746" s="171"/>
      <c r="AT746" s="171"/>
      <c r="AU746" s="171"/>
      <c r="AV746" s="171"/>
      <c r="AW746" s="171"/>
      <c r="AX746" s="171"/>
      <c r="AY746" s="171"/>
      <c r="AZ746" s="171"/>
      <c r="BA746" s="171"/>
      <c r="BB746" s="171"/>
      <c r="BC746" s="171"/>
      <c r="BD746" s="171"/>
      <c r="BE746" s="171"/>
      <c r="BF746" s="171"/>
      <c r="BG746" s="171"/>
      <c r="BH746" s="171"/>
    </row>
    <row r="747" spans="1:60" outlineLevel="2" x14ac:dyDescent="0.2">
      <c r="A747" s="172"/>
      <c r="B747" s="173"/>
      <c r="C747" s="174" t="s">
        <v>738</v>
      </c>
      <c r="D747" s="175"/>
      <c r="E747" s="176">
        <v>0.6</v>
      </c>
      <c r="F747" s="196"/>
      <c r="G747" s="169"/>
      <c r="H747" s="169"/>
      <c r="I747" s="169"/>
      <c r="J747" s="169"/>
      <c r="K747" s="169"/>
      <c r="L747" s="169"/>
      <c r="M747" s="169"/>
      <c r="N747" s="170"/>
      <c r="O747" s="170"/>
      <c r="P747" s="170"/>
      <c r="Q747" s="170"/>
      <c r="R747" s="169"/>
      <c r="S747" s="169"/>
      <c r="T747" s="169"/>
      <c r="U747" s="169"/>
      <c r="V747" s="169"/>
      <c r="W747" s="169"/>
      <c r="X747" s="169"/>
      <c r="Y747" s="169"/>
      <c r="Z747" s="171"/>
      <c r="AA747" s="171"/>
      <c r="AB747" s="171"/>
      <c r="AC747" s="171"/>
      <c r="AD747" s="171"/>
      <c r="AE747" s="171"/>
      <c r="AF747" s="171"/>
      <c r="AG747" s="171" t="s">
        <v>148</v>
      </c>
      <c r="AH747" s="171">
        <v>7</v>
      </c>
      <c r="AI747" s="171"/>
      <c r="AJ747" s="171"/>
      <c r="AK747" s="171"/>
      <c r="AL747" s="171"/>
      <c r="AM747" s="171"/>
      <c r="AN747" s="171"/>
      <c r="AO747" s="171"/>
      <c r="AP747" s="171"/>
      <c r="AQ747" s="171"/>
      <c r="AR747" s="171"/>
      <c r="AS747" s="171"/>
      <c r="AT747" s="171"/>
      <c r="AU747" s="171"/>
      <c r="AV747" s="171"/>
      <c r="AW747" s="171"/>
      <c r="AX747" s="171"/>
      <c r="AY747" s="171"/>
      <c r="AZ747" s="171"/>
      <c r="BA747" s="171"/>
      <c r="BB747" s="171"/>
      <c r="BC747" s="171"/>
      <c r="BD747" s="171"/>
      <c r="BE747" s="171"/>
      <c r="BF747" s="171"/>
      <c r="BG747" s="171"/>
      <c r="BH747" s="171"/>
    </row>
    <row r="748" spans="1:60" outlineLevel="3" x14ac:dyDescent="0.2">
      <c r="A748" s="172"/>
      <c r="B748" s="173"/>
      <c r="C748" s="174" t="s">
        <v>739</v>
      </c>
      <c r="D748" s="175"/>
      <c r="E748" s="176">
        <v>0.69460999999999995</v>
      </c>
      <c r="F748" s="196"/>
      <c r="G748" s="169"/>
      <c r="H748" s="169"/>
      <c r="I748" s="169"/>
      <c r="J748" s="169"/>
      <c r="K748" s="169"/>
      <c r="L748" s="169"/>
      <c r="M748" s="169"/>
      <c r="N748" s="170"/>
      <c r="O748" s="170"/>
      <c r="P748" s="170"/>
      <c r="Q748" s="170"/>
      <c r="R748" s="169"/>
      <c r="S748" s="169"/>
      <c r="T748" s="169"/>
      <c r="U748" s="169"/>
      <c r="V748" s="169"/>
      <c r="W748" s="169"/>
      <c r="X748" s="169"/>
      <c r="Y748" s="169"/>
      <c r="Z748" s="171"/>
      <c r="AA748" s="171"/>
      <c r="AB748" s="171"/>
      <c r="AC748" s="171"/>
      <c r="AD748" s="171"/>
      <c r="AE748" s="171"/>
      <c r="AF748" s="171"/>
      <c r="AG748" s="171" t="s">
        <v>148</v>
      </c>
      <c r="AH748" s="171">
        <v>7</v>
      </c>
      <c r="AI748" s="171"/>
      <c r="AJ748" s="171"/>
      <c r="AK748" s="171"/>
      <c r="AL748" s="171"/>
      <c r="AM748" s="171"/>
      <c r="AN748" s="171"/>
      <c r="AO748" s="171"/>
      <c r="AP748" s="171"/>
      <c r="AQ748" s="171"/>
      <c r="AR748" s="171"/>
      <c r="AS748" s="171"/>
      <c r="AT748" s="171"/>
      <c r="AU748" s="171"/>
      <c r="AV748" s="171"/>
      <c r="AW748" s="171"/>
      <c r="AX748" s="171"/>
      <c r="AY748" s="171"/>
      <c r="AZ748" s="171"/>
      <c r="BA748" s="171"/>
      <c r="BB748" s="171"/>
      <c r="BC748" s="171"/>
      <c r="BD748" s="171"/>
      <c r="BE748" s="171"/>
      <c r="BF748" s="171"/>
      <c r="BG748" s="171"/>
      <c r="BH748" s="171"/>
    </row>
    <row r="749" spans="1:60" outlineLevel="1" x14ac:dyDescent="0.2">
      <c r="A749" s="177">
        <v>125</v>
      </c>
      <c r="B749" s="178" t="s">
        <v>740</v>
      </c>
      <c r="C749" s="179" t="s">
        <v>741</v>
      </c>
      <c r="D749" s="180" t="s">
        <v>155</v>
      </c>
      <c r="E749" s="181">
        <v>60.275010000000002</v>
      </c>
      <c r="F749" s="141"/>
      <c r="G749" s="182">
        <f t="shared" ref="G749:G755" si="14">ROUND(E749*F749,2)</f>
        <v>0</v>
      </c>
      <c r="H749" s="168"/>
      <c r="I749" s="169">
        <f t="shared" ref="I749:I755" si="15">ROUND(E749*H749,2)</f>
        <v>0</v>
      </c>
      <c r="J749" s="168"/>
      <c r="K749" s="169">
        <f t="shared" ref="K749:K755" si="16">ROUND(E749*J749,2)</f>
        <v>0</v>
      </c>
      <c r="L749" s="169">
        <v>21</v>
      </c>
      <c r="M749" s="169">
        <f t="shared" ref="M749:M755" si="17">G749*(1+L749/100)</f>
        <v>0</v>
      </c>
      <c r="N749" s="170">
        <v>0</v>
      </c>
      <c r="O749" s="170">
        <f t="shared" ref="O749:O755" si="18">ROUND(E749*N749,2)</f>
        <v>0</v>
      </c>
      <c r="P749" s="170">
        <v>0</v>
      </c>
      <c r="Q749" s="170">
        <f t="shared" ref="Q749:Q755" si="19">ROUND(E749*P749,2)</f>
        <v>0</v>
      </c>
      <c r="R749" s="169"/>
      <c r="S749" s="169" t="s">
        <v>143</v>
      </c>
      <c r="T749" s="169" t="s">
        <v>143</v>
      </c>
      <c r="U749" s="169">
        <v>0.93300000000000005</v>
      </c>
      <c r="V749" s="169">
        <f t="shared" ref="V749:V755" si="20">ROUND(E749*U749,2)</f>
        <v>56.24</v>
      </c>
      <c r="W749" s="169"/>
      <c r="X749" s="169" t="s">
        <v>742</v>
      </c>
      <c r="Y749" s="169" t="s">
        <v>145</v>
      </c>
      <c r="Z749" s="171"/>
      <c r="AA749" s="171"/>
      <c r="AB749" s="171"/>
      <c r="AC749" s="171"/>
      <c r="AD749" s="171"/>
      <c r="AE749" s="171"/>
      <c r="AF749" s="171"/>
      <c r="AG749" s="171" t="s">
        <v>743</v>
      </c>
      <c r="AH749" s="171"/>
      <c r="AI749" s="171"/>
      <c r="AJ749" s="171"/>
      <c r="AK749" s="171"/>
      <c r="AL749" s="171"/>
      <c r="AM749" s="171"/>
      <c r="AN749" s="171"/>
      <c r="AO749" s="171"/>
      <c r="AP749" s="171"/>
      <c r="AQ749" s="171"/>
      <c r="AR749" s="171"/>
      <c r="AS749" s="171"/>
      <c r="AT749" s="171"/>
      <c r="AU749" s="171"/>
      <c r="AV749" s="171"/>
      <c r="AW749" s="171"/>
      <c r="AX749" s="171"/>
      <c r="AY749" s="171"/>
      <c r="AZ749" s="171"/>
      <c r="BA749" s="171"/>
      <c r="BB749" s="171"/>
      <c r="BC749" s="171"/>
      <c r="BD749" s="171"/>
      <c r="BE749" s="171"/>
      <c r="BF749" s="171"/>
      <c r="BG749" s="171"/>
      <c r="BH749" s="171"/>
    </row>
    <row r="750" spans="1:60" outlineLevel="1" x14ac:dyDescent="0.2">
      <c r="A750" s="177">
        <v>126</v>
      </c>
      <c r="B750" s="178" t="s">
        <v>744</v>
      </c>
      <c r="C750" s="179" t="s">
        <v>745</v>
      </c>
      <c r="D750" s="180" t="s">
        <v>155</v>
      </c>
      <c r="E750" s="181">
        <v>60.275010000000002</v>
      </c>
      <c r="F750" s="141"/>
      <c r="G750" s="182">
        <f t="shared" si="14"/>
        <v>0</v>
      </c>
      <c r="H750" s="168"/>
      <c r="I750" s="169">
        <f t="shared" si="15"/>
        <v>0</v>
      </c>
      <c r="J750" s="168"/>
      <c r="K750" s="169">
        <f t="shared" si="16"/>
        <v>0</v>
      </c>
      <c r="L750" s="169">
        <v>21</v>
      </c>
      <c r="M750" s="169">
        <f t="shared" si="17"/>
        <v>0</v>
      </c>
      <c r="N750" s="170">
        <v>0</v>
      </c>
      <c r="O750" s="170">
        <f t="shared" si="18"/>
        <v>0</v>
      </c>
      <c r="P750" s="170">
        <v>0</v>
      </c>
      <c r="Q750" s="170">
        <f t="shared" si="19"/>
        <v>0</v>
      </c>
      <c r="R750" s="169"/>
      <c r="S750" s="169" t="s">
        <v>143</v>
      </c>
      <c r="T750" s="169" t="s">
        <v>143</v>
      </c>
      <c r="U750" s="169">
        <v>0.65300000000000002</v>
      </c>
      <c r="V750" s="169">
        <f t="shared" si="20"/>
        <v>39.36</v>
      </c>
      <c r="W750" s="169"/>
      <c r="X750" s="169" t="s">
        <v>742</v>
      </c>
      <c r="Y750" s="169" t="s">
        <v>145</v>
      </c>
      <c r="Z750" s="171"/>
      <c r="AA750" s="171"/>
      <c r="AB750" s="171"/>
      <c r="AC750" s="171"/>
      <c r="AD750" s="171"/>
      <c r="AE750" s="171"/>
      <c r="AF750" s="171"/>
      <c r="AG750" s="171" t="s">
        <v>743</v>
      </c>
      <c r="AH750" s="171"/>
      <c r="AI750" s="171"/>
      <c r="AJ750" s="171"/>
      <c r="AK750" s="171"/>
      <c r="AL750" s="171"/>
      <c r="AM750" s="171"/>
      <c r="AN750" s="171"/>
      <c r="AO750" s="171"/>
      <c r="AP750" s="171"/>
      <c r="AQ750" s="171"/>
      <c r="AR750" s="171"/>
      <c r="AS750" s="171"/>
      <c r="AT750" s="171"/>
      <c r="AU750" s="171"/>
      <c r="AV750" s="171"/>
      <c r="AW750" s="171"/>
      <c r="AX750" s="171"/>
      <c r="AY750" s="171"/>
      <c r="AZ750" s="171"/>
      <c r="BA750" s="171"/>
      <c r="BB750" s="171"/>
      <c r="BC750" s="171"/>
      <c r="BD750" s="171"/>
      <c r="BE750" s="171"/>
      <c r="BF750" s="171"/>
      <c r="BG750" s="171"/>
      <c r="BH750" s="171"/>
    </row>
    <row r="751" spans="1:60" outlineLevel="1" x14ac:dyDescent="0.2">
      <c r="A751" s="177">
        <v>127</v>
      </c>
      <c r="B751" s="178" t="s">
        <v>746</v>
      </c>
      <c r="C751" s="179" t="s">
        <v>747</v>
      </c>
      <c r="D751" s="180" t="s">
        <v>155</v>
      </c>
      <c r="E751" s="181">
        <v>60.275010000000002</v>
      </c>
      <c r="F751" s="141"/>
      <c r="G751" s="182">
        <f t="shared" si="14"/>
        <v>0</v>
      </c>
      <c r="H751" s="168"/>
      <c r="I751" s="169">
        <f t="shared" si="15"/>
        <v>0</v>
      </c>
      <c r="J751" s="168"/>
      <c r="K751" s="169">
        <f t="shared" si="16"/>
        <v>0</v>
      </c>
      <c r="L751" s="169">
        <v>21</v>
      </c>
      <c r="M751" s="169">
        <f t="shared" si="17"/>
        <v>0</v>
      </c>
      <c r="N751" s="170">
        <v>0</v>
      </c>
      <c r="O751" s="170">
        <f t="shared" si="18"/>
        <v>0</v>
      </c>
      <c r="P751" s="170">
        <v>0</v>
      </c>
      <c r="Q751" s="170">
        <f t="shared" si="19"/>
        <v>0</v>
      </c>
      <c r="R751" s="169"/>
      <c r="S751" s="169" t="s">
        <v>143</v>
      </c>
      <c r="T751" s="169" t="s">
        <v>143</v>
      </c>
      <c r="U751" s="169">
        <v>0.49</v>
      </c>
      <c r="V751" s="169">
        <f t="shared" si="20"/>
        <v>29.53</v>
      </c>
      <c r="W751" s="169"/>
      <c r="X751" s="169" t="s">
        <v>742</v>
      </c>
      <c r="Y751" s="169" t="s">
        <v>145</v>
      </c>
      <c r="Z751" s="171"/>
      <c r="AA751" s="171"/>
      <c r="AB751" s="171"/>
      <c r="AC751" s="171"/>
      <c r="AD751" s="171"/>
      <c r="AE751" s="171"/>
      <c r="AF751" s="171"/>
      <c r="AG751" s="171" t="s">
        <v>743</v>
      </c>
      <c r="AH751" s="171"/>
      <c r="AI751" s="171"/>
      <c r="AJ751" s="171"/>
      <c r="AK751" s="171"/>
      <c r="AL751" s="171"/>
      <c r="AM751" s="171"/>
      <c r="AN751" s="171"/>
      <c r="AO751" s="171"/>
      <c r="AP751" s="171"/>
      <c r="AQ751" s="171"/>
      <c r="AR751" s="171"/>
      <c r="AS751" s="171"/>
      <c r="AT751" s="171"/>
      <c r="AU751" s="171"/>
      <c r="AV751" s="171"/>
      <c r="AW751" s="171"/>
      <c r="AX751" s="171"/>
      <c r="AY751" s="171"/>
      <c r="AZ751" s="171"/>
      <c r="BA751" s="171"/>
      <c r="BB751" s="171"/>
      <c r="BC751" s="171"/>
      <c r="BD751" s="171"/>
      <c r="BE751" s="171"/>
      <c r="BF751" s="171"/>
      <c r="BG751" s="171"/>
      <c r="BH751" s="171"/>
    </row>
    <row r="752" spans="1:60" outlineLevel="1" x14ac:dyDescent="0.2">
      <c r="A752" s="177">
        <v>128</v>
      </c>
      <c r="B752" s="178" t="s">
        <v>748</v>
      </c>
      <c r="C752" s="179" t="s">
        <v>749</v>
      </c>
      <c r="D752" s="180" t="s">
        <v>155</v>
      </c>
      <c r="E752" s="181">
        <v>1145.22515</v>
      </c>
      <c r="F752" s="141"/>
      <c r="G752" s="182">
        <f t="shared" si="14"/>
        <v>0</v>
      </c>
      <c r="H752" s="168"/>
      <c r="I752" s="169">
        <f t="shared" si="15"/>
        <v>0</v>
      </c>
      <c r="J752" s="168"/>
      <c r="K752" s="169">
        <f t="shared" si="16"/>
        <v>0</v>
      </c>
      <c r="L752" s="169">
        <v>21</v>
      </c>
      <c r="M752" s="169">
        <f t="shared" si="17"/>
        <v>0</v>
      </c>
      <c r="N752" s="170">
        <v>0</v>
      </c>
      <c r="O752" s="170">
        <f t="shared" si="18"/>
        <v>0</v>
      </c>
      <c r="P752" s="170">
        <v>0</v>
      </c>
      <c r="Q752" s="170">
        <f t="shared" si="19"/>
        <v>0</v>
      </c>
      <c r="R752" s="169"/>
      <c r="S752" s="169" t="s">
        <v>143</v>
      </c>
      <c r="T752" s="169" t="s">
        <v>143</v>
      </c>
      <c r="U752" s="169">
        <v>0</v>
      </c>
      <c r="V752" s="169">
        <f t="shared" si="20"/>
        <v>0</v>
      </c>
      <c r="W752" s="169"/>
      <c r="X752" s="169" t="s">
        <v>742</v>
      </c>
      <c r="Y752" s="169" t="s">
        <v>145</v>
      </c>
      <c r="Z752" s="171"/>
      <c r="AA752" s="171"/>
      <c r="AB752" s="171"/>
      <c r="AC752" s="171"/>
      <c r="AD752" s="171"/>
      <c r="AE752" s="171"/>
      <c r="AF752" s="171"/>
      <c r="AG752" s="171" t="s">
        <v>743</v>
      </c>
      <c r="AH752" s="171"/>
      <c r="AI752" s="171"/>
      <c r="AJ752" s="171"/>
      <c r="AK752" s="171"/>
      <c r="AL752" s="171"/>
      <c r="AM752" s="171"/>
      <c r="AN752" s="171"/>
      <c r="AO752" s="171"/>
      <c r="AP752" s="171"/>
      <c r="AQ752" s="171"/>
      <c r="AR752" s="171"/>
      <c r="AS752" s="171"/>
      <c r="AT752" s="171"/>
      <c r="AU752" s="171"/>
      <c r="AV752" s="171"/>
      <c r="AW752" s="171"/>
      <c r="AX752" s="171"/>
      <c r="AY752" s="171"/>
      <c r="AZ752" s="171"/>
      <c r="BA752" s="171"/>
      <c r="BB752" s="171"/>
      <c r="BC752" s="171"/>
      <c r="BD752" s="171"/>
      <c r="BE752" s="171"/>
      <c r="BF752" s="171"/>
      <c r="BG752" s="171"/>
      <c r="BH752" s="171"/>
    </row>
    <row r="753" spans="1:60" outlineLevel="1" x14ac:dyDescent="0.2">
      <c r="A753" s="177">
        <v>129</v>
      </c>
      <c r="B753" s="178" t="s">
        <v>750</v>
      </c>
      <c r="C753" s="179" t="s">
        <v>751</v>
      </c>
      <c r="D753" s="180" t="s">
        <v>155</v>
      </c>
      <c r="E753" s="181">
        <v>60.275010000000002</v>
      </c>
      <c r="F753" s="141"/>
      <c r="G753" s="182">
        <f t="shared" si="14"/>
        <v>0</v>
      </c>
      <c r="H753" s="168"/>
      <c r="I753" s="169">
        <f t="shared" si="15"/>
        <v>0</v>
      </c>
      <c r="J753" s="168"/>
      <c r="K753" s="169">
        <f t="shared" si="16"/>
        <v>0</v>
      </c>
      <c r="L753" s="169">
        <v>21</v>
      </c>
      <c r="M753" s="169">
        <f t="shared" si="17"/>
        <v>0</v>
      </c>
      <c r="N753" s="170">
        <v>0</v>
      </c>
      <c r="O753" s="170">
        <f t="shared" si="18"/>
        <v>0</v>
      </c>
      <c r="P753" s="170">
        <v>0</v>
      </c>
      <c r="Q753" s="170">
        <f t="shared" si="19"/>
        <v>0</v>
      </c>
      <c r="R753" s="169"/>
      <c r="S753" s="169" t="s">
        <v>143</v>
      </c>
      <c r="T753" s="169" t="s">
        <v>143</v>
      </c>
      <c r="U753" s="169">
        <v>0.94199999999999995</v>
      </c>
      <c r="V753" s="169">
        <f t="shared" si="20"/>
        <v>56.78</v>
      </c>
      <c r="W753" s="169"/>
      <c r="X753" s="169" t="s">
        <v>742</v>
      </c>
      <c r="Y753" s="169" t="s">
        <v>145</v>
      </c>
      <c r="Z753" s="171"/>
      <c r="AA753" s="171"/>
      <c r="AB753" s="171"/>
      <c r="AC753" s="171"/>
      <c r="AD753" s="171"/>
      <c r="AE753" s="171"/>
      <c r="AF753" s="171"/>
      <c r="AG753" s="171" t="s">
        <v>743</v>
      </c>
      <c r="AH753" s="171"/>
      <c r="AI753" s="171"/>
      <c r="AJ753" s="171"/>
      <c r="AK753" s="171"/>
      <c r="AL753" s="171"/>
      <c r="AM753" s="171"/>
      <c r="AN753" s="171"/>
      <c r="AO753" s="171"/>
      <c r="AP753" s="171"/>
      <c r="AQ753" s="171"/>
      <c r="AR753" s="171"/>
      <c r="AS753" s="171"/>
      <c r="AT753" s="171"/>
      <c r="AU753" s="171"/>
      <c r="AV753" s="171"/>
      <c r="AW753" s="171"/>
      <c r="AX753" s="171"/>
      <c r="AY753" s="171"/>
      <c r="AZ753" s="171"/>
      <c r="BA753" s="171"/>
      <c r="BB753" s="171"/>
      <c r="BC753" s="171"/>
      <c r="BD753" s="171"/>
      <c r="BE753" s="171"/>
      <c r="BF753" s="171"/>
      <c r="BG753" s="171"/>
      <c r="BH753" s="171"/>
    </row>
    <row r="754" spans="1:60" outlineLevel="1" x14ac:dyDescent="0.2">
      <c r="A754" s="177">
        <v>130</v>
      </c>
      <c r="B754" s="178" t="s">
        <v>752</v>
      </c>
      <c r="C754" s="179" t="s">
        <v>753</v>
      </c>
      <c r="D754" s="180" t="s">
        <v>155</v>
      </c>
      <c r="E754" s="181">
        <v>241.10003</v>
      </c>
      <c r="F754" s="141"/>
      <c r="G754" s="182">
        <f t="shared" si="14"/>
        <v>0</v>
      </c>
      <c r="H754" s="168"/>
      <c r="I754" s="169">
        <f t="shared" si="15"/>
        <v>0</v>
      </c>
      <c r="J754" s="168"/>
      <c r="K754" s="169">
        <f t="shared" si="16"/>
        <v>0</v>
      </c>
      <c r="L754" s="169">
        <v>21</v>
      </c>
      <c r="M754" s="169">
        <f t="shared" si="17"/>
        <v>0</v>
      </c>
      <c r="N754" s="170">
        <v>0</v>
      </c>
      <c r="O754" s="170">
        <f t="shared" si="18"/>
        <v>0</v>
      </c>
      <c r="P754" s="170">
        <v>0</v>
      </c>
      <c r="Q754" s="170">
        <f t="shared" si="19"/>
        <v>0</v>
      </c>
      <c r="R754" s="169"/>
      <c r="S754" s="169" t="s">
        <v>143</v>
      </c>
      <c r="T754" s="169" t="s">
        <v>143</v>
      </c>
      <c r="U754" s="169">
        <v>0.105</v>
      </c>
      <c r="V754" s="169">
        <f t="shared" si="20"/>
        <v>25.32</v>
      </c>
      <c r="W754" s="169"/>
      <c r="X754" s="169" t="s">
        <v>742</v>
      </c>
      <c r="Y754" s="169" t="s">
        <v>145</v>
      </c>
      <c r="Z754" s="171"/>
      <c r="AA754" s="171"/>
      <c r="AB754" s="171"/>
      <c r="AC754" s="171"/>
      <c r="AD754" s="171"/>
      <c r="AE754" s="171"/>
      <c r="AF754" s="171"/>
      <c r="AG754" s="171" t="s">
        <v>743</v>
      </c>
      <c r="AH754" s="171"/>
      <c r="AI754" s="171"/>
      <c r="AJ754" s="171"/>
      <c r="AK754" s="171"/>
      <c r="AL754" s="171"/>
      <c r="AM754" s="171"/>
      <c r="AN754" s="171"/>
      <c r="AO754" s="171"/>
      <c r="AP754" s="171"/>
      <c r="AQ754" s="171"/>
      <c r="AR754" s="171"/>
      <c r="AS754" s="171"/>
      <c r="AT754" s="171"/>
      <c r="AU754" s="171"/>
      <c r="AV754" s="171"/>
      <c r="AW754" s="171"/>
      <c r="AX754" s="171"/>
      <c r="AY754" s="171"/>
      <c r="AZ754" s="171"/>
      <c r="BA754" s="171"/>
      <c r="BB754" s="171"/>
      <c r="BC754" s="171"/>
      <c r="BD754" s="171"/>
      <c r="BE754" s="171"/>
      <c r="BF754" s="171"/>
      <c r="BG754" s="171"/>
      <c r="BH754" s="171"/>
    </row>
    <row r="755" spans="1:60" outlineLevel="1" x14ac:dyDescent="0.2">
      <c r="A755" s="177">
        <v>131</v>
      </c>
      <c r="B755" s="178" t="s">
        <v>754</v>
      </c>
      <c r="C755" s="179" t="s">
        <v>755</v>
      </c>
      <c r="D755" s="180" t="s">
        <v>155</v>
      </c>
      <c r="E755" s="181">
        <v>60.275010000000002</v>
      </c>
      <c r="F755" s="141"/>
      <c r="G755" s="182">
        <f t="shared" si="14"/>
        <v>0</v>
      </c>
      <c r="H755" s="168"/>
      <c r="I755" s="169">
        <f t="shared" si="15"/>
        <v>0</v>
      </c>
      <c r="J755" s="168"/>
      <c r="K755" s="169">
        <f t="shared" si="16"/>
        <v>0</v>
      </c>
      <c r="L755" s="169">
        <v>21</v>
      </c>
      <c r="M755" s="169">
        <f t="shared" si="17"/>
        <v>0</v>
      </c>
      <c r="N755" s="170">
        <v>0</v>
      </c>
      <c r="O755" s="170">
        <f t="shared" si="18"/>
        <v>0</v>
      </c>
      <c r="P755" s="170">
        <v>0</v>
      </c>
      <c r="Q755" s="170">
        <f t="shared" si="19"/>
        <v>0</v>
      </c>
      <c r="R755" s="169"/>
      <c r="S755" s="169" t="s">
        <v>143</v>
      </c>
      <c r="T755" s="169" t="s">
        <v>143</v>
      </c>
      <c r="U755" s="169">
        <v>6.0000000000000001E-3</v>
      </c>
      <c r="V755" s="169">
        <f t="shared" si="20"/>
        <v>0.36</v>
      </c>
      <c r="W755" s="169"/>
      <c r="X755" s="169" t="s">
        <v>742</v>
      </c>
      <c r="Y755" s="169" t="s">
        <v>145</v>
      </c>
      <c r="Z755" s="171"/>
      <c r="AA755" s="171"/>
      <c r="AB755" s="171"/>
      <c r="AC755" s="171"/>
      <c r="AD755" s="171"/>
      <c r="AE755" s="171"/>
      <c r="AF755" s="171"/>
      <c r="AG755" s="171" t="s">
        <v>743</v>
      </c>
      <c r="AH755" s="171"/>
      <c r="AI755" s="171"/>
      <c r="AJ755" s="171"/>
      <c r="AK755" s="171"/>
      <c r="AL755" s="171"/>
      <c r="AM755" s="171"/>
      <c r="AN755" s="171"/>
      <c r="AO755" s="171"/>
      <c r="AP755" s="171"/>
      <c r="AQ755" s="171"/>
      <c r="AR755" s="171"/>
      <c r="AS755" s="171"/>
      <c r="AT755" s="171"/>
      <c r="AU755" s="171"/>
      <c r="AV755" s="171"/>
      <c r="AW755" s="171"/>
      <c r="AX755" s="171"/>
      <c r="AY755" s="171"/>
      <c r="AZ755" s="171"/>
      <c r="BA755" s="171"/>
      <c r="BB755" s="171"/>
      <c r="BC755" s="171"/>
      <c r="BD755" s="171"/>
      <c r="BE755" s="171"/>
      <c r="BF755" s="171"/>
      <c r="BG755" s="171"/>
      <c r="BH755" s="171"/>
    </row>
    <row r="756" spans="1:60" x14ac:dyDescent="0.2">
      <c r="A756" s="153" t="s">
        <v>138</v>
      </c>
      <c r="B756" s="154" t="s">
        <v>110</v>
      </c>
      <c r="C756" s="155" t="s">
        <v>29</v>
      </c>
      <c r="D756" s="156"/>
      <c r="E756" s="157"/>
      <c r="F756" s="197"/>
      <c r="G756" s="159">
        <f>SUMIF(AG757:AG758,"&lt;&gt;NOR",G757:G758)</f>
        <v>0</v>
      </c>
      <c r="H756" s="160"/>
      <c r="I756" s="160">
        <f>SUM(I757:I758)</f>
        <v>0</v>
      </c>
      <c r="J756" s="160"/>
      <c r="K756" s="160">
        <f>SUM(K757:K758)</f>
        <v>0</v>
      </c>
      <c r="L756" s="160"/>
      <c r="M756" s="160">
        <f>SUM(M757:M758)</f>
        <v>0</v>
      </c>
      <c r="N756" s="161"/>
      <c r="O756" s="161">
        <f>SUM(O757:O758)</f>
        <v>0</v>
      </c>
      <c r="P756" s="161"/>
      <c r="Q756" s="161">
        <f>SUM(Q757:Q758)</f>
        <v>0</v>
      </c>
      <c r="R756" s="160"/>
      <c r="S756" s="160"/>
      <c r="T756" s="160"/>
      <c r="U756" s="160"/>
      <c r="V756" s="160">
        <f>SUM(V757:V758)</f>
        <v>0</v>
      </c>
      <c r="W756" s="160"/>
      <c r="X756" s="160"/>
      <c r="Y756" s="160"/>
      <c r="AG756" t="s">
        <v>139</v>
      </c>
    </row>
    <row r="757" spans="1:60" outlineLevel="1" x14ac:dyDescent="0.2">
      <c r="A757" s="177">
        <v>132</v>
      </c>
      <c r="B757" s="178" t="s">
        <v>756</v>
      </c>
      <c r="C757" s="179" t="s">
        <v>757</v>
      </c>
      <c r="D757" s="180" t="s">
        <v>758</v>
      </c>
      <c r="E757" s="181">
        <v>1</v>
      </c>
      <c r="F757" s="141"/>
      <c r="G757" s="182">
        <f>ROUND(E757*F757,2)</f>
        <v>0</v>
      </c>
      <c r="H757" s="168"/>
      <c r="I757" s="169">
        <f>ROUND(E757*H757,2)</f>
        <v>0</v>
      </c>
      <c r="J757" s="168"/>
      <c r="K757" s="169">
        <f>ROUND(E757*J757,2)</f>
        <v>0</v>
      </c>
      <c r="L757" s="169">
        <v>21</v>
      </c>
      <c r="M757" s="169">
        <f>G757*(1+L757/100)</f>
        <v>0</v>
      </c>
      <c r="N757" s="170">
        <v>0</v>
      </c>
      <c r="O757" s="170">
        <f>ROUND(E757*N757,2)</f>
        <v>0</v>
      </c>
      <c r="P757" s="170">
        <v>0</v>
      </c>
      <c r="Q757" s="170">
        <f>ROUND(E757*P757,2)</f>
        <v>0</v>
      </c>
      <c r="R757" s="169"/>
      <c r="S757" s="169" t="s">
        <v>143</v>
      </c>
      <c r="T757" s="169" t="s">
        <v>214</v>
      </c>
      <c r="U757" s="169">
        <v>0</v>
      </c>
      <c r="V757" s="169">
        <f>ROUND(E757*U757,2)</f>
        <v>0</v>
      </c>
      <c r="W757" s="169"/>
      <c r="X757" s="169" t="s">
        <v>759</v>
      </c>
      <c r="Y757" s="169" t="s">
        <v>145</v>
      </c>
      <c r="Z757" s="171"/>
      <c r="AA757" s="171"/>
      <c r="AB757" s="171"/>
      <c r="AC757" s="171"/>
      <c r="AD757" s="171"/>
      <c r="AE757" s="171"/>
      <c r="AF757" s="171"/>
      <c r="AG757" s="171" t="s">
        <v>760</v>
      </c>
      <c r="AH757" s="171"/>
      <c r="AI757" s="171"/>
      <c r="AJ757" s="171"/>
      <c r="AK757" s="171"/>
      <c r="AL757" s="171"/>
      <c r="AM757" s="171"/>
      <c r="AN757" s="171"/>
      <c r="AO757" s="171"/>
      <c r="AP757" s="171"/>
      <c r="AQ757" s="171"/>
      <c r="AR757" s="171"/>
      <c r="AS757" s="171"/>
      <c r="AT757" s="171"/>
      <c r="AU757" s="171"/>
      <c r="AV757" s="171"/>
      <c r="AW757" s="171"/>
      <c r="AX757" s="171"/>
      <c r="AY757" s="171"/>
      <c r="AZ757" s="171"/>
      <c r="BA757" s="171"/>
      <c r="BB757" s="171"/>
      <c r="BC757" s="171"/>
      <c r="BD757" s="171"/>
      <c r="BE757" s="171"/>
      <c r="BF757" s="171"/>
      <c r="BG757" s="171"/>
      <c r="BH757" s="171"/>
    </row>
    <row r="758" spans="1:60" outlineLevel="1" x14ac:dyDescent="0.2">
      <c r="A758" s="162">
        <v>133</v>
      </c>
      <c r="B758" s="163" t="s">
        <v>761</v>
      </c>
      <c r="C758" s="164" t="s">
        <v>762</v>
      </c>
      <c r="D758" s="165" t="s">
        <v>758</v>
      </c>
      <c r="E758" s="166">
        <v>1</v>
      </c>
      <c r="F758" s="140"/>
      <c r="G758" s="167">
        <f>ROUND(E758*F758,2)</f>
        <v>0</v>
      </c>
      <c r="H758" s="168"/>
      <c r="I758" s="169">
        <f>ROUND(E758*H758,2)</f>
        <v>0</v>
      </c>
      <c r="J758" s="168"/>
      <c r="K758" s="169">
        <f>ROUND(E758*J758,2)</f>
        <v>0</v>
      </c>
      <c r="L758" s="169">
        <v>21</v>
      </c>
      <c r="M758" s="169">
        <f>G758*(1+L758/100)</f>
        <v>0</v>
      </c>
      <c r="N758" s="170">
        <v>0</v>
      </c>
      <c r="O758" s="170">
        <f>ROUND(E758*N758,2)</f>
        <v>0</v>
      </c>
      <c r="P758" s="170">
        <v>0</v>
      </c>
      <c r="Q758" s="170">
        <f>ROUND(E758*P758,2)</f>
        <v>0</v>
      </c>
      <c r="R758" s="169"/>
      <c r="S758" s="169" t="s">
        <v>143</v>
      </c>
      <c r="T758" s="169" t="s">
        <v>214</v>
      </c>
      <c r="U758" s="169">
        <v>0</v>
      </c>
      <c r="V758" s="169">
        <f>ROUND(E758*U758,2)</f>
        <v>0</v>
      </c>
      <c r="W758" s="169"/>
      <c r="X758" s="169" t="s">
        <v>759</v>
      </c>
      <c r="Y758" s="169" t="s">
        <v>145</v>
      </c>
      <c r="Z758" s="171"/>
      <c r="AA758" s="171"/>
      <c r="AB758" s="171"/>
      <c r="AC758" s="171"/>
      <c r="AD758" s="171"/>
      <c r="AE758" s="171"/>
      <c r="AF758" s="171"/>
      <c r="AG758" s="171" t="s">
        <v>760</v>
      </c>
      <c r="AH758" s="171"/>
      <c r="AI758" s="171"/>
      <c r="AJ758" s="171"/>
      <c r="AK758" s="171"/>
      <c r="AL758" s="171"/>
      <c r="AM758" s="171"/>
      <c r="AN758" s="171"/>
      <c r="AO758" s="171"/>
      <c r="AP758" s="171"/>
      <c r="AQ758" s="171"/>
      <c r="AR758" s="171"/>
      <c r="AS758" s="171"/>
      <c r="AT758" s="171"/>
      <c r="AU758" s="171"/>
      <c r="AV758" s="171"/>
      <c r="AW758" s="171"/>
      <c r="AX758" s="171"/>
      <c r="AY758" s="171"/>
      <c r="AZ758" s="171"/>
      <c r="BA758" s="171"/>
      <c r="BB758" s="171"/>
      <c r="BC758" s="171"/>
      <c r="BD758" s="171"/>
      <c r="BE758" s="171"/>
      <c r="BF758" s="171"/>
      <c r="BG758" s="171"/>
      <c r="BH758" s="171"/>
    </row>
    <row r="759" spans="1:60" x14ac:dyDescent="0.2">
      <c r="A759" s="3"/>
      <c r="B759" s="4"/>
      <c r="C759" s="188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AE759">
        <v>12</v>
      </c>
      <c r="AF759">
        <v>21</v>
      </c>
      <c r="AG759" t="s">
        <v>124</v>
      </c>
    </row>
    <row r="760" spans="1:60" x14ac:dyDescent="0.2">
      <c r="A760" s="189"/>
      <c r="B760" s="190" t="s">
        <v>31</v>
      </c>
      <c r="C760" s="191"/>
      <c r="D760" s="192"/>
      <c r="E760" s="193"/>
      <c r="F760" s="193"/>
      <c r="G760" s="194">
        <f>G8+G116+G121+G163+G183+G190+G192+G212+G403+G405+G422+G440+G443+G456+G466+G468+G510+G513+G558+G662+G684+G718+G721+G756</f>
        <v>0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AE760">
        <f>SUMIF(L7:L758,AE759,G7:G758)</f>
        <v>0</v>
      </c>
      <c r="AF760">
        <f>SUMIF(L7:L758,AF759,G7:G758)</f>
        <v>0</v>
      </c>
      <c r="AG760" t="s">
        <v>763</v>
      </c>
    </row>
    <row r="761" spans="1:60" x14ac:dyDescent="0.2">
      <c r="A761" s="3"/>
      <c r="B761" s="4"/>
      <c r="C761" s="188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60" x14ac:dyDescent="0.2">
      <c r="A762" s="3"/>
      <c r="B762" s="4"/>
      <c r="C762" s="188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60" x14ac:dyDescent="0.2">
      <c r="A763" s="261" t="s">
        <v>764</v>
      </c>
      <c r="B763" s="261"/>
      <c r="C763" s="262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60" x14ac:dyDescent="0.2">
      <c r="A764" s="263"/>
      <c r="B764" s="264"/>
      <c r="C764" s="265"/>
      <c r="D764" s="264"/>
      <c r="E764" s="264"/>
      <c r="F764" s="264"/>
      <c r="G764" s="26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AG764" t="s">
        <v>765</v>
      </c>
    </row>
    <row r="765" spans="1:60" x14ac:dyDescent="0.2">
      <c r="A765" s="267"/>
      <c r="B765" s="268"/>
      <c r="C765" s="269"/>
      <c r="D765" s="268"/>
      <c r="E765" s="268"/>
      <c r="F765" s="268"/>
      <c r="G765" s="27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60" x14ac:dyDescent="0.2">
      <c r="A766" s="267"/>
      <c r="B766" s="268"/>
      <c r="C766" s="269"/>
      <c r="D766" s="268"/>
      <c r="E766" s="268"/>
      <c r="F766" s="268"/>
      <c r="G766" s="27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60" x14ac:dyDescent="0.2">
      <c r="A767" s="267"/>
      <c r="B767" s="268"/>
      <c r="C767" s="269"/>
      <c r="D767" s="268"/>
      <c r="E767" s="268"/>
      <c r="F767" s="268"/>
      <c r="G767" s="27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60" x14ac:dyDescent="0.2">
      <c r="A768" s="271"/>
      <c r="B768" s="272"/>
      <c r="C768" s="273"/>
      <c r="D768" s="272"/>
      <c r="E768" s="272"/>
      <c r="F768" s="272"/>
      <c r="G768" s="27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33" x14ac:dyDescent="0.2">
      <c r="A769" s="3"/>
      <c r="B769" s="4"/>
      <c r="C769" s="188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33" x14ac:dyDescent="0.2">
      <c r="C770" s="195"/>
      <c r="D770" s="10"/>
      <c r="AG770" t="s">
        <v>766</v>
      </c>
    </row>
    <row r="771" spans="1:33" x14ac:dyDescent="0.2">
      <c r="D771" s="10"/>
    </row>
    <row r="772" spans="1:33" x14ac:dyDescent="0.2">
      <c r="D772" s="10"/>
    </row>
    <row r="773" spans="1:33" x14ac:dyDescent="0.2">
      <c r="D773" s="10"/>
    </row>
    <row r="774" spans="1:33" x14ac:dyDescent="0.2">
      <c r="D774" s="10"/>
    </row>
    <row r="775" spans="1:33" x14ac:dyDescent="0.2">
      <c r="D775" s="10"/>
    </row>
    <row r="776" spans="1:33" x14ac:dyDescent="0.2">
      <c r="D776" s="10"/>
    </row>
    <row r="777" spans="1:33" x14ac:dyDescent="0.2">
      <c r="D777" s="10"/>
    </row>
    <row r="778" spans="1:33" x14ac:dyDescent="0.2">
      <c r="D778" s="10"/>
    </row>
    <row r="779" spans="1:33" x14ac:dyDescent="0.2">
      <c r="D779" s="10"/>
    </row>
    <row r="780" spans="1:33" x14ac:dyDescent="0.2">
      <c r="D780" s="10"/>
    </row>
    <row r="781" spans="1:33" x14ac:dyDescent="0.2">
      <c r="D781" s="10"/>
    </row>
    <row r="782" spans="1:33" x14ac:dyDescent="0.2">
      <c r="D782" s="10"/>
    </row>
    <row r="783" spans="1:33" x14ac:dyDescent="0.2">
      <c r="D783" s="10"/>
    </row>
    <row r="784" spans="1:33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HwTQTZ40I/q4/G0KAMx8YXcBTM+w1dX6u/jZrGnuutW9mKfyco1YpG74gFtMSSsbqjox69AnZKyAjNKUK6/zQ==" saltValue="f5eXwWLrByTXU40RYVYP9g==" spinCount="100000" sheet="1" formatRows="0"/>
  <mergeCells count="6">
    <mergeCell ref="A764:G768"/>
    <mergeCell ref="A1:G1"/>
    <mergeCell ref="C2:G2"/>
    <mergeCell ref="C3:G3"/>
    <mergeCell ref="C4:G4"/>
    <mergeCell ref="A763:C7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5217-1213-4B2F-A05C-49191A9C2435}">
  <sheetPr>
    <pageSetUpPr fitToPage="1"/>
  </sheetPr>
  <dimension ref="A1:BL227"/>
  <sheetViews>
    <sheetView workbookViewId="0">
      <pane ySplit="11" topLeftCell="A12" activePane="bottomLeft" state="frozen"/>
      <selection activeCell="D4" sqref="D4:N5"/>
      <selection pane="bottomLeft" activeCell="H215" sqref="H215"/>
    </sheetView>
  </sheetViews>
  <sheetFormatPr defaultColWidth="11.5703125" defaultRowHeight="12.75" x14ac:dyDescent="0.2"/>
  <cols>
    <col min="1" max="1" width="3.7109375" style="276" customWidth="1"/>
    <col min="2" max="2" width="7.5703125" style="276" customWidth="1"/>
    <col min="3" max="3" width="14.28515625" style="276" customWidth="1"/>
    <col min="4" max="4" width="34.5703125" style="276" customWidth="1"/>
    <col min="5" max="5" width="12.28515625" style="276" customWidth="1"/>
    <col min="6" max="6" width="6.42578125" style="276" customWidth="1"/>
    <col min="7" max="7" width="12.85546875" style="276" customWidth="1"/>
    <col min="8" max="8" width="12" style="276" customWidth="1"/>
    <col min="9" max="10" width="14.28515625" style="276" hidden="1" customWidth="1"/>
    <col min="11" max="11" width="14.28515625" style="276" customWidth="1"/>
    <col min="12" max="14" width="11.7109375" style="276" customWidth="1"/>
    <col min="15" max="24" width="11.5703125" style="276"/>
    <col min="25" max="64" width="12.140625" style="276" hidden="1" customWidth="1"/>
    <col min="65" max="256" width="11.5703125" style="276"/>
    <col min="257" max="257" width="3.7109375" style="276" customWidth="1"/>
    <col min="258" max="258" width="7.5703125" style="276" customWidth="1"/>
    <col min="259" max="259" width="14.28515625" style="276" customWidth="1"/>
    <col min="260" max="260" width="34.5703125" style="276" customWidth="1"/>
    <col min="261" max="261" width="12.28515625" style="276" customWidth="1"/>
    <col min="262" max="262" width="6.42578125" style="276" customWidth="1"/>
    <col min="263" max="263" width="12.85546875" style="276" customWidth="1"/>
    <col min="264" max="264" width="12" style="276" customWidth="1"/>
    <col min="265" max="266" width="0" style="276" hidden="1" customWidth="1"/>
    <col min="267" max="267" width="14.28515625" style="276" customWidth="1"/>
    <col min="268" max="270" width="11.7109375" style="276" customWidth="1"/>
    <col min="271" max="280" width="11.5703125" style="276"/>
    <col min="281" max="320" width="0" style="276" hidden="1" customWidth="1"/>
    <col min="321" max="512" width="11.5703125" style="276"/>
    <col min="513" max="513" width="3.7109375" style="276" customWidth="1"/>
    <col min="514" max="514" width="7.5703125" style="276" customWidth="1"/>
    <col min="515" max="515" width="14.28515625" style="276" customWidth="1"/>
    <col min="516" max="516" width="34.5703125" style="276" customWidth="1"/>
    <col min="517" max="517" width="12.28515625" style="276" customWidth="1"/>
    <col min="518" max="518" width="6.42578125" style="276" customWidth="1"/>
    <col min="519" max="519" width="12.85546875" style="276" customWidth="1"/>
    <col min="520" max="520" width="12" style="276" customWidth="1"/>
    <col min="521" max="522" width="0" style="276" hidden="1" customWidth="1"/>
    <col min="523" max="523" width="14.28515625" style="276" customWidth="1"/>
    <col min="524" max="526" width="11.7109375" style="276" customWidth="1"/>
    <col min="527" max="536" width="11.5703125" style="276"/>
    <col min="537" max="576" width="0" style="276" hidden="1" customWidth="1"/>
    <col min="577" max="768" width="11.5703125" style="276"/>
    <col min="769" max="769" width="3.7109375" style="276" customWidth="1"/>
    <col min="770" max="770" width="7.5703125" style="276" customWidth="1"/>
    <col min="771" max="771" width="14.28515625" style="276" customWidth="1"/>
    <col min="772" max="772" width="34.5703125" style="276" customWidth="1"/>
    <col min="773" max="773" width="12.28515625" style="276" customWidth="1"/>
    <col min="774" max="774" width="6.42578125" style="276" customWidth="1"/>
    <col min="775" max="775" width="12.85546875" style="276" customWidth="1"/>
    <col min="776" max="776" width="12" style="276" customWidth="1"/>
    <col min="777" max="778" width="0" style="276" hidden="1" customWidth="1"/>
    <col min="779" max="779" width="14.28515625" style="276" customWidth="1"/>
    <col min="780" max="782" width="11.7109375" style="276" customWidth="1"/>
    <col min="783" max="792" width="11.5703125" style="276"/>
    <col min="793" max="832" width="0" style="276" hidden="1" customWidth="1"/>
    <col min="833" max="1024" width="11.5703125" style="276"/>
    <col min="1025" max="1025" width="3.7109375" style="276" customWidth="1"/>
    <col min="1026" max="1026" width="7.5703125" style="276" customWidth="1"/>
    <col min="1027" max="1027" width="14.28515625" style="276" customWidth="1"/>
    <col min="1028" max="1028" width="34.5703125" style="276" customWidth="1"/>
    <col min="1029" max="1029" width="12.28515625" style="276" customWidth="1"/>
    <col min="1030" max="1030" width="6.42578125" style="276" customWidth="1"/>
    <col min="1031" max="1031" width="12.85546875" style="276" customWidth="1"/>
    <col min="1032" max="1032" width="12" style="276" customWidth="1"/>
    <col min="1033" max="1034" width="0" style="276" hidden="1" customWidth="1"/>
    <col min="1035" max="1035" width="14.28515625" style="276" customWidth="1"/>
    <col min="1036" max="1038" width="11.7109375" style="276" customWidth="1"/>
    <col min="1039" max="1048" width="11.5703125" style="276"/>
    <col min="1049" max="1088" width="0" style="276" hidden="1" customWidth="1"/>
    <col min="1089" max="1280" width="11.5703125" style="276"/>
    <col min="1281" max="1281" width="3.7109375" style="276" customWidth="1"/>
    <col min="1282" max="1282" width="7.5703125" style="276" customWidth="1"/>
    <col min="1283" max="1283" width="14.28515625" style="276" customWidth="1"/>
    <col min="1284" max="1284" width="34.5703125" style="276" customWidth="1"/>
    <col min="1285" max="1285" width="12.28515625" style="276" customWidth="1"/>
    <col min="1286" max="1286" width="6.42578125" style="276" customWidth="1"/>
    <col min="1287" max="1287" width="12.85546875" style="276" customWidth="1"/>
    <col min="1288" max="1288" width="12" style="276" customWidth="1"/>
    <col min="1289" max="1290" width="0" style="276" hidden="1" customWidth="1"/>
    <col min="1291" max="1291" width="14.28515625" style="276" customWidth="1"/>
    <col min="1292" max="1294" width="11.7109375" style="276" customWidth="1"/>
    <col min="1295" max="1304" width="11.5703125" style="276"/>
    <col min="1305" max="1344" width="0" style="276" hidden="1" customWidth="1"/>
    <col min="1345" max="1536" width="11.5703125" style="276"/>
    <col min="1537" max="1537" width="3.7109375" style="276" customWidth="1"/>
    <col min="1538" max="1538" width="7.5703125" style="276" customWidth="1"/>
    <col min="1539" max="1539" width="14.28515625" style="276" customWidth="1"/>
    <col min="1540" max="1540" width="34.5703125" style="276" customWidth="1"/>
    <col min="1541" max="1541" width="12.28515625" style="276" customWidth="1"/>
    <col min="1542" max="1542" width="6.42578125" style="276" customWidth="1"/>
    <col min="1543" max="1543" width="12.85546875" style="276" customWidth="1"/>
    <col min="1544" max="1544" width="12" style="276" customWidth="1"/>
    <col min="1545" max="1546" width="0" style="276" hidden="1" customWidth="1"/>
    <col min="1547" max="1547" width="14.28515625" style="276" customWidth="1"/>
    <col min="1548" max="1550" width="11.7109375" style="276" customWidth="1"/>
    <col min="1551" max="1560" width="11.5703125" style="276"/>
    <col min="1561" max="1600" width="0" style="276" hidden="1" customWidth="1"/>
    <col min="1601" max="1792" width="11.5703125" style="276"/>
    <col min="1793" max="1793" width="3.7109375" style="276" customWidth="1"/>
    <col min="1794" max="1794" width="7.5703125" style="276" customWidth="1"/>
    <col min="1795" max="1795" width="14.28515625" style="276" customWidth="1"/>
    <col min="1796" max="1796" width="34.5703125" style="276" customWidth="1"/>
    <col min="1797" max="1797" width="12.28515625" style="276" customWidth="1"/>
    <col min="1798" max="1798" width="6.42578125" style="276" customWidth="1"/>
    <col min="1799" max="1799" width="12.85546875" style="276" customWidth="1"/>
    <col min="1800" max="1800" width="12" style="276" customWidth="1"/>
    <col min="1801" max="1802" width="0" style="276" hidden="1" customWidth="1"/>
    <col min="1803" max="1803" width="14.28515625" style="276" customWidth="1"/>
    <col min="1804" max="1806" width="11.7109375" style="276" customWidth="1"/>
    <col min="1807" max="1816" width="11.5703125" style="276"/>
    <col min="1817" max="1856" width="0" style="276" hidden="1" customWidth="1"/>
    <col min="1857" max="2048" width="11.5703125" style="276"/>
    <col min="2049" max="2049" width="3.7109375" style="276" customWidth="1"/>
    <col min="2050" max="2050" width="7.5703125" style="276" customWidth="1"/>
    <col min="2051" max="2051" width="14.28515625" style="276" customWidth="1"/>
    <col min="2052" max="2052" width="34.5703125" style="276" customWidth="1"/>
    <col min="2053" max="2053" width="12.28515625" style="276" customWidth="1"/>
    <col min="2054" max="2054" width="6.42578125" style="276" customWidth="1"/>
    <col min="2055" max="2055" width="12.85546875" style="276" customWidth="1"/>
    <col min="2056" max="2056" width="12" style="276" customWidth="1"/>
    <col min="2057" max="2058" width="0" style="276" hidden="1" customWidth="1"/>
    <col min="2059" max="2059" width="14.28515625" style="276" customWidth="1"/>
    <col min="2060" max="2062" width="11.7109375" style="276" customWidth="1"/>
    <col min="2063" max="2072" width="11.5703125" style="276"/>
    <col min="2073" max="2112" width="0" style="276" hidden="1" customWidth="1"/>
    <col min="2113" max="2304" width="11.5703125" style="276"/>
    <col min="2305" max="2305" width="3.7109375" style="276" customWidth="1"/>
    <col min="2306" max="2306" width="7.5703125" style="276" customWidth="1"/>
    <col min="2307" max="2307" width="14.28515625" style="276" customWidth="1"/>
    <col min="2308" max="2308" width="34.5703125" style="276" customWidth="1"/>
    <col min="2309" max="2309" width="12.28515625" style="276" customWidth="1"/>
    <col min="2310" max="2310" width="6.42578125" style="276" customWidth="1"/>
    <col min="2311" max="2311" width="12.85546875" style="276" customWidth="1"/>
    <col min="2312" max="2312" width="12" style="276" customWidth="1"/>
    <col min="2313" max="2314" width="0" style="276" hidden="1" customWidth="1"/>
    <col min="2315" max="2315" width="14.28515625" style="276" customWidth="1"/>
    <col min="2316" max="2318" width="11.7109375" style="276" customWidth="1"/>
    <col min="2319" max="2328" width="11.5703125" style="276"/>
    <col min="2329" max="2368" width="0" style="276" hidden="1" customWidth="1"/>
    <col min="2369" max="2560" width="11.5703125" style="276"/>
    <col min="2561" max="2561" width="3.7109375" style="276" customWidth="1"/>
    <col min="2562" max="2562" width="7.5703125" style="276" customWidth="1"/>
    <col min="2563" max="2563" width="14.28515625" style="276" customWidth="1"/>
    <col min="2564" max="2564" width="34.5703125" style="276" customWidth="1"/>
    <col min="2565" max="2565" width="12.28515625" style="276" customWidth="1"/>
    <col min="2566" max="2566" width="6.42578125" style="276" customWidth="1"/>
    <col min="2567" max="2567" width="12.85546875" style="276" customWidth="1"/>
    <col min="2568" max="2568" width="12" style="276" customWidth="1"/>
    <col min="2569" max="2570" width="0" style="276" hidden="1" customWidth="1"/>
    <col min="2571" max="2571" width="14.28515625" style="276" customWidth="1"/>
    <col min="2572" max="2574" width="11.7109375" style="276" customWidth="1"/>
    <col min="2575" max="2584" width="11.5703125" style="276"/>
    <col min="2585" max="2624" width="0" style="276" hidden="1" customWidth="1"/>
    <col min="2625" max="2816" width="11.5703125" style="276"/>
    <col min="2817" max="2817" width="3.7109375" style="276" customWidth="1"/>
    <col min="2818" max="2818" width="7.5703125" style="276" customWidth="1"/>
    <col min="2819" max="2819" width="14.28515625" style="276" customWidth="1"/>
    <col min="2820" max="2820" width="34.5703125" style="276" customWidth="1"/>
    <col min="2821" max="2821" width="12.28515625" style="276" customWidth="1"/>
    <col min="2822" max="2822" width="6.42578125" style="276" customWidth="1"/>
    <col min="2823" max="2823" width="12.85546875" style="276" customWidth="1"/>
    <col min="2824" max="2824" width="12" style="276" customWidth="1"/>
    <col min="2825" max="2826" width="0" style="276" hidden="1" customWidth="1"/>
    <col min="2827" max="2827" width="14.28515625" style="276" customWidth="1"/>
    <col min="2828" max="2830" width="11.7109375" style="276" customWidth="1"/>
    <col min="2831" max="2840" width="11.5703125" style="276"/>
    <col min="2841" max="2880" width="0" style="276" hidden="1" customWidth="1"/>
    <col min="2881" max="3072" width="11.5703125" style="276"/>
    <col min="3073" max="3073" width="3.7109375" style="276" customWidth="1"/>
    <col min="3074" max="3074" width="7.5703125" style="276" customWidth="1"/>
    <col min="3075" max="3075" width="14.28515625" style="276" customWidth="1"/>
    <col min="3076" max="3076" width="34.5703125" style="276" customWidth="1"/>
    <col min="3077" max="3077" width="12.28515625" style="276" customWidth="1"/>
    <col min="3078" max="3078" width="6.42578125" style="276" customWidth="1"/>
    <col min="3079" max="3079" width="12.85546875" style="276" customWidth="1"/>
    <col min="3080" max="3080" width="12" style="276" customWidth="1"/>
    <col min="3081" max="3082" width="0" style="276" hidden="1" customWidth="1"/>
    <col min="3083" max="3083" width="14.28515625" style="276" customWidth="1"/>
    <col min="3084" max="3086" width="11.7109375" style="276" customWidth="1"/>
    <col min="3087" max="3096" width="11.5703125" style="276"/>
    <col min="3097" max="3136" width="0" style="276" hidden="1" customWidth="1"/>
    <col min="3137" max="3328" width="11.5703125" style="276"/>
    <col min="3329" max="3329" width="3.7109375" style="276" customWidth="1"/>
    <col min="3330" max="3330" width="7.5703125" style="276" customWidth="1"/>
    <col min="3331" max="3331" width="14.28515625" style="276" customWidth="1"/>
    <col min="3332" max="3332" width="34.5703125" style="276" customWidth="1"/>
    <col min="3333" max="3333" width="12.28515625" style="276" customWidth="1"/>
    <col min="3334" max="3334" width="6.42578125" style="276" customWidth="1"/>
    <col min="3335" max="3335" width="12.85546875" style="276" customWidth="1"/>
    <col min="3336" max="3336" width="12" style="276" customWidth="1"/>
    <col min="3337" max="3338" width="0" style="276" hidden="1" customWidth="1"/>
    <col min="3339" max="3339" width="14.28515625" style="276" customWidth="1"/>
    <col min="3340" max="3342" width="11.7109375" style="276" customWidth="1"/>
    <col min="3343" max="3352" width="11.5703125" style="276"/>
    <col min="3353" max="3392" width="0" style="276" hidden="1" customWidth="1"/>
    <col min="3393" max="3584" width="11.5703125" style="276"/>
    <col min="3585" max="3585" width="3.7109375" style="276" customWidth="1"/>
    <col min="3586" max="3586" width="7.5703125" style="276" customWidth="1"/>
    <col min="3587" max="3587" width="14.28515625" style="276" customWidth="1"/>
    <col min="3588" max="3588" width="34.5703125" style="276" customWidth="1"/>
    <col min="3589" max="3589" width="12.28515625" style="276" customWidth="1"/>
    <col min="3590" max="3590" width="6.42578125" style="276" customWidth="1"/>
    <col min="3591" max="3591" width="12.85546875" style="276" customWidth="1"/>
    <col min="3592" max="3592" width="12" style="276" customWidth="1"/>
    <col min="3593" max="3594" width="0" style="276" hidden="1" customWidth="1"/>
    <col min="3595" max="3595" width="14.28515625" style="276" customWidth="1"/>
    <col min="3596" max="3598" width="11.7109375" style="276" customWidth="1"/>
    <col min="3599" max="3608" width="11.5703125" style="276"/>
    <col min="3609" max="3648" width="0" style="276" hidden="1" customWidth="1"/>
    <col min="3649" max="3840" width="11.5703125" style="276"/>
    <col min="3841" max="3841" width="3.7109375" style="276" customWidth="1"/>
    <col min="3842" max="3842" width="7.5703125" style="276" customWidth="1"/>
    <col min="3843" max="3843" width="14.28515625" style="276" customWidth="1"/>
    <col min="3844" max="3844" width="34.5703125" style="276" customWidth="1"/>
    <col min="3845" max="3845" width="12.28515625" style="276" customWidth="1"/>
    <col min="3846" max="3846" width="6.42578125" style="276" customWidth="1"/>
    <col min="3847" max="3847" width="12.85546875" style="276" customWidth="1"/>
    <col min="3848" max="3848" width="12" style="276" customWidth="1"/>
    <col min="3849" max="3850" width="0" style="276" hidden="1" customWidth="1"/>
    <col min="3851" max="3851" width="14.28515625" style="276" customWidth="1"/>
    <col min="3852" max="3854" width="11.7109375" style="276" customWidth="1"/>
    <col min="3855" max="3864" width="11.5703125" style="276"/>
    <col min="3865" max="3904" width="0" style="276" hidden="1" customWidth="1"/>
    <col min="3905" max="4096" width="11.5703125" style="276"/>
    <col min="4097" max="4097" width="3.7109375" style="276" customWidth="1"/>
    <col min="4098" max="4098" width="7.5703125" style="276" customWidth="1"/>
    <col min="4099" max="4099" width="14.28515625" style="276" customWidth="1"/>
    <col min="4100" max="4100" width="34.5703125" style="276" customWidth="1"/>
    <col min="4101" max="4101" width="12.28515625" style="276" customWidth="1"/>
    <col min="4102" max="4102" width="6.42578125" style="276" customWidth="1"/>
    <col min="4103" max="4103" width="12.85546875" style="276" customWidth="1"/>
    <col min="4104" max="4104" width="12" style="276" customWidth="1"/>
    <col min="4105" max="4106" width="0" style="276" hidden="1" customWidth="1"/>
    <col min="4107" max="4107" width="14.28515625" style="276" customWidth="1"/>
    <col min="4108" max="4110" width="11.7109375" style="276" customWidth="1"/>
    <col min="4111" max="4120" width="11.5703125" style="276"/>
    <col min="4121" max="4160" width="0" style="276" hidden="1" customWidth="1"/>
    <col min="4161" max="4352" width="11.5703125" style="276"/>
    <col min="4353" max="4353" width="3.7109375" style="276" customWidth="1"/>
    <col min="4354" max="4354" width="7.5703125" style="276" customWidth="1"/>
    <col min="4355" max="4355" width="14.28515625" style="276" customWidth="1"/>
    <col min="4356" max="4356" width="34.5703125" style="276" customWidth="1"/>
    <col min="4357" max="4357" width="12.28515625" style="276" customWidth="1"/>
    <col min="4358" max="4358" width="6.42578125" style="276" customWidth="1"/>
    <col min="4359" max="4359" width="12.85546875" style="276" customWidth="1"/>
    <col min="4360" max="4360" width="12" style="276" customWidth="1"/>
    <col min="4361" max="4362" width="0" style="276" hidden="1" customWidth="1"/>
    <col min="4363" max="4363" width="14.28515625" style="276" customWidth="1"/>
    <col min="4364" max="4366" width="11.7109375" style="276" customWidth="1"/>
    <col min="4367" max="4376" width="11.5703125" style="276"/>
    <col min="4377" max="4416" width="0" style="276" hidden="1" customWidth="1"/>
    <col min="4417" max="4608" width="11.5703125" style="276"/>
    <col min="4609" max="4609" width="3.7109375" style="276" customWidth="1"/>
    <col min="4610" max="4610" width="7.5703125" style="276" customWidth="1"/>
    <col min="4611" max="4611" width="14.28515625" style="276" customWidth="1"/>
    <col min="4612" max="4612" width="34.5703125" style="276" customWidth="1"/>
    <col min="4613" max="4613" width="12.28515625" style="276" customWidth="1"/>
    <col min="4614" max="4614" width="6.42578125" style="276" customWidth="1"/>
    <col min="4615" max="4615" width="12.85546875" style="276" customWidth="1"/>
    <col min="4616" max="4616" width="12" style="276" customWidth="1"/>
    <col min="4617" max="4618" width="0" style="276" hidden="1" customWidth="1"/>
    <col min="4619" max="4619" width="14.28515625" style="276" customWidth="1"/>
    <col min="4620" max="4622" width="11.7109375" style="276" customWidth="1"/>
    <col min="4623" max="4632" width="11.5703125" style="276"/>
    <col min="4633" max="4672" width="0" style="276" hidden="1" customWidth="1"/>
    <col min="4673" max="4864" width="11.5703125" style="276"/>
    <col min="4865" max="4865" width="3.7109375" style="276" customWidth="1"/>
    <col min="4866" max="4866" width="7.5703125" style="276" customWidth="1"/>
    <col min="4867" max="4867" width="14.28515625" style="276" customWidth="1"/>
    <col min="4868" max="4868" width="34.5703125" style="276" customWidth="1"/>
    <col min="4869" max="4869" width="12.28515625" style="276" customWidth="1"/>
    <col min="4870" max="4870" width="6.42578125" style="276" customWidth="1"/>
    <col min="4871" max="4871" width="12.85546875" style="276" customWidth="1"/>
    <col min="4872" max="4872" width="12" style="276" customWidth="1"/>
    <col min="4873" max="4874" width="0" style="276" hidden="1" customWidth="1"/>
    <col min="4875" max="4875" width="14.28515625" style="276" customWidth="1"/>
    <col min="4876" max="4878" width="11.7109375" style="276" customWidth="1"/>
    <col min="4879" max="4888" width="11.5703125" style="276"/>
    <col min="4889" max="4928" width="0" style="276" hidden="1" customWidth="1"/>
    <col min="4929" max="5120" width="11.5703125" style="276"/>
    <col min="5121" max="5121" width="3.7109375" style="276" customWidth="1"/>
    <col min="5122" max="5122" width="7.5703125" style="276" customWidth="1"/>
    <col min="5123" max="5123" width="14.28515625" style="276" customWidth="1"/>
    <col min="5124" max="5124" width="34.5703125" style="276" customWidth="1"/>
    <col min="5125" max="5125" width="12.28515625" style="276" customWidth="1"/>
    <col min="5126" max="5126" width="6.42578125" style="276" customWidth="1"/>
    <col min="5127" max="5127" width="12.85546875" style="276" customWidth="1"/>
    <col min="5128" max="5128" width="12" style="276" customWidth="1"/>
    <col min="5129" max="5130" width="0" style="276" hidden="1" customWidth="1"/>
    <col min="5131" max="5131" width="14.28515625" style="276" customWidth="1"/>
    <col min="5132" max="5134" width="11.7109375" style="276" customWidth="1"/>
    <col min="5135" max="5144" width="11.5703125" style="276"/>
    <col min="5145" max="5184" width="0" style="276" hidden="1" customWidth="1"/>
    <col min="5185" max="5376" width="11.5703125" style="276"/>
    <col min="5377" max="5377" width="3.7109375" style="276" customWidth="1"/>
    <col min="5378" max="5378" width="7.5703125" style="276" customWidth="1"/>
    <col min="5379" max="5379" width="14.28515625" style="276" customWidth="1"/>
    <col min="5380" max="5380" width="34.5703125" style="276" customWidth="1"/>
    <col min="5381" max="5381" width="12.28515625" style="276" customWidth="1"/>
    <col min="5382" max="5382" width="6.42578125" style="276" customWidth="1"/>
    <col min="5383" max="5383" width="12.85546875" style="276" customWidth="1"/>
    <col min="5384" max="5384" width="12" style="276" customWidth="1"/>
    <col min="5385" max="5386" width="0" style="276" hidden="1" customWidth="1"/>
    <col min="5387" max="5387" width="14.28515625" style="276" customWidth="1"/>
    <col min="5388" max="5390" width="11.7109375" style="276" customWidth="1"/>
    <col min="5391" max="5400" width="11.5703125" style="276"/>
    <col min="5401" max="5440" width="0" style="276" hidden="1" customWidth="1"/>
    <col min="5441" max="5632" width="11.5703125" style="276"/>
    <col min="5633" max="5633" width="3.7109375" style="276" customWidth="1"/>
    <col min="5634" max="5634" width="7.5703125" style="276" customWidth="1"/>
    <col min="5635" max="5635" width="14.28515625" style="276" customWidth="1"/>
    <col min="5636" max="5636" width="34.5703125" style="276" customWidth="1"/>
    <col min="5637" max="5637" width="12.28515625" style="276" customWidth="1"/>
    <col min="5638" max="5638" width="6.42578125" style="276" customWidth="1"/>
    <col min="5639" max="5639" width="12.85546875" style="276" customWidth="1"/>
    <col min="5640" max="5640" width="12" style="276" customWidth="1"/>
    <col min="5641" max="5642" width="0" style="276" hidden="1" customWidth="1"/>
    <col min="5643" max="5643" width="14.28515625" style="276" customWidth="1"/>
    <col min="5644" max="5646" width="11.7109375" style="276" customWidth="1"/>
    <col min="5647" max="5656" width="11.5703125" style="276"/>
    <col min="5657" max="5696" width="0" style="276" hidden="1" customWidth="1"/>
    <col min="5697" max="5888" width="11.5703125" style="276"/>
    <col min="5889" max="5889" width="3.7109375" style="276" customWidth="1"/>
    <col min="5890" max="5890" width="7.5703125" style="276" customWidth="1"/>
    <col min="5891" max="5891" width="14.28515625" style="276" customWidth="1"/>
    <col min="5892" max="5892" width="34.5703125" style="276" customWidth="1"/>
    <col min="5893" max="5893" width="12.28515625" style="276" customWidth="1"/>
    <col min="5894" max="5894" width="6.42578125" style="276" customWidth="1"/>
    <col min="5895" max="5895" width="12.85546875" style="276" customWidth="1"/>
    <col min="5896" max="5896" width="12" style="276" customWidth="1"/>
    <col min="5897" max="5898" width="0" style="276" hidden="1" customWidth="1"/>
    <col min="5899" max="5899" width="14.28515625" style="276" customWidth="1"/>
    <col min="5900" max="5902" width="11.7109375" style="276" customWidth="1"/>
    <col min="5903" max="5912" width="11.5703125" style="276"/>
    <col min="5913" max="5952" width="0" style="276" hidden="1" customWidth="1"/>
    <col min="5953" max="6144" width="11.5703125" style="276"/>
    <col min="6145" max="6145" width="3.7109375" style="276" customWidth="1"/>
    <col min="6146" max="6146" width="7.5703125" style="276" customWidth="1"/>
    <col min="6147" max="6147" width="14.28515625" style="276" customWidth="1"/>
    <col min="6148" max="6148" width="34.5703125" style="276" customWidth="1"/>
    <col min="6149" max="6149" width="12.28515625" style="276" customWidth="1"/>
    <col min="6150" max="6150" width="6.42578125" style="276" customWidth="1"/>
    <col min="6151" max="6151" width="12.85546875" style="276" customWidth="1"/>
    <col min="6152" max="6152" width="12" style="276" customWidth="1"/>
    <col min="6153" max="6154" width="0" style="276" hidden="1" customWidth="1"/>
    <col min="6155" max="6155" width="14.28515625" style="276" customWidth="1"/>
    <col min="6156" max="6158" width="11.7109375" style="276" customWidth="1"/>
    <col min="6159" max="6168" width="11.5703125" style="276"/>
    <col min="6169" max="6208" width="0" style="276" hidden="1" customWidth="1"/>
    <col min="6209" max="6400" width="11.5703125" style="276"/>
    <col min="6401" max="6401" width="3.7109375" style="276" customWidth="1"/>
    <col min="6402" max="6402" width="7.5703125" style="276" customWidth="1"/>
    <col min="6403" max="6403" width="14.28515625" style="276" customWidth="1"/>
    <col min="6404" max="6404" width="34.5703125" style="276" customWidth="1"/>
    <col min="6405" max="6405" width="12.28515625" style="276" customWidth="1"/>
    <col min="6406" max="6406" width="6.42578125" style="276" customWidth="1"/>
    <col min="6407" max="6407" width="12.85546875" style="276" customWidth="1"/>
    <col min="6408" max="6408" width="12" style="276" customWidth="1"/>
    <col min="6409" max="6410" width="0" style="276" hidden="1" customWidth="1"/>
    <col min="6411" max="6411" width="14.28515625" style="276" customWidth="1"/>
    <col min="6412" max="6414" width="11.7109375" style="276" customWidth="1"/>
    <col min="6415" max="6424" width="11.5703125" style="276"/>
    <col min="6425" max="6464" width="0" style="276" hidden="1" customWidth="1"/>
    <col min="6465" max="6656" width="11.5703125" style="276"/>
    <col min="6657" max="6657" width="3.7109375" style="276" customWidth="1"/>
    <col min="6658" max="6658" width="7.5703125" style="276" customWidth="1"/>
    <col min="6659" max="6659" width="14.28515625" style="276" customWidth="1"/>
    <col min="6660" max="6660" width="34.5703125" style="276" customWidth="1"/>
    <col min="6661" max="6661" width="12.28515625" style="276" customWidth="1"/>
    <col min="6662" max="6662" width="6.42578125" style="276" customWidth="1"/>
    <col min="6663" max="6663" width="12.85546875" style="276" customWidth="1"/>
    <col min="6664" max="6664" width="12" style="276" customWidth="1"/>
    <col min="6665" max="6666" width="0" style="276" hidden="1" customWidth="1"/>
    <col min="6667" max="6667" width="14.28515625" style="276" customWidth="1"/>
    <col min="6668" max="6670" width="11.7109375" style="276" customWidth="1"/>
    <col min="6671" max="6680" width="11.5703125" style="276"/>
    <col min="6681" max="6720" width="0" style="276" hidden="1" customWidth="1"/>
    <col min="6721" max="6912" width="11.5703125" style="276"/>
    <col min="6913" max="6913" width="3.7109375" style="276" customWidth="1"/>
    <col min="6914" max="6914" width="7.5703125" style="276" customWidth="1"/>
    <col min="6915" max="6915" width="14.28515625" style="276" customWidth="1"/>
    <col min="6916" max="6916" width="34.5703125" style="276" customWidth="1"/>
    <col min="6917" max="6917" width="12.28515625" style="276" customWidth="1"/>
    <col min="6918" max="6918" width="6.42578125" style="276" customWidth="1"/>
    <col min="6919" max="6919" width="12.85546875" style="276" customWidth="1"/>
    <col min="6920" max="6920" width="12" style="276" customWidth="1"/>
    <col min="6921" max="6922" width="0" style="276" hidden="1" customWidth="1"/>
    <col min="6923" max="6923" width="14.28515625" style="276" customWidth="1"/>
    <col min="6924" max="6926" width="11.7109375" style="276" customWidth="1"/>
    <col min="6927" max="6936" width="11.5703125" style="276"/>
    <col min="6937" max="6976" width="0" style="276" hidden="1" customWidth="1"/>
    <col min="6977" max="7168" width="11.5703125" style="276"/>
    <col min="7169" max="7169" width="3.7109375" style="276" customWidth="1"/>
    <col min="7170" max="7170" width="7.5703125" style="276" customWidth="1"/>
    <col min="7171" max="7171" width="14.28515625" style="276" customWidth="1"/>
    <col min="7172" max="7172" width="34.5703125" style="276" customWidth="1"/>
    <col min="7173" max="7173" width="12.28515625" style="276" customWidth="1"/>
    <col min="7174" max="7174" width="6.42578125" style="276" customWidth="1"/>
    <col min="7175" max="7175" width="12.85546875" style="276" customWidth="1"/>
    <col min="7176" max="7176" width="12" style="276" customWidth="1"/>
    <col min="7177" max="7178" width="0" style="276" hidden="1" customWidth="1"/>
    <col min="7179" max="7179" width="14.28515625" style="276" customWidth="1"/>
    <col min="7180" max="7182" width="11.7109375" style="276" customWidth="1"/>
    <col min="7183" max="7192" width="11.5703125" style="276"/>
    <col min="7193" max="7232" width="0" style="276" hidden="1" customWidth="1"/>
    <col min="7233" max="7424" width="11.5703125" style="276"/>
    <col min="7425" max="7425" width="3.7109375" style="276" customWidth="1"/>
    <col min="7426" max="7426" width="7.5703125" style="276" customWidth="1"/>
    <col min="7427" max="7427" width="14.28515625" style="276" customWidth="1"/>
    <col min="7428" max="7428" width="34.5703125" style="276" customWidth="1"/>
    <col min="7429" max="7429" width="12.28515625" style="276" customWidth="1"/>
    <col min="7430" max="7430" width="6.42578125" style="276" customWidth="1"/>
    <col min="7431" max="7431" width="12.85546875" style="276" customWidth="1"/>
    <col min="7432" max="7432" width="12" style="276" customWidth="1"/>
    <col min="7433" max="7434" width="0" style="276" hidden="1" customWidth="1"/>
    <col min="7435" max="7435" width="14.28515625" style="276" customWidth="1"/>
    <col min="7436" max="7438" width="11.7109375" style="276" customWidth="1"/>
    <col min="7439" max="7448" width="11.5703125" style="276"/>
    <col min="7449" max="7488" width="0" style="276" hidden="1" customWidth="1"/>
    <col min="7489" max="7680" width="11.5703125" style="276"/>
    <col min="7681" max="7681" width="3.7109375" style="276" customWidth="1"/>
    <col min="7682" max="7682" width="7.5703125" style="276" customWidth="1"/>
    <col min="7683" max="7683" width="14.28515625" style="276" customWidth="1"/>
    <col min="7684" max="7684" width="34.5703125" style="276" customWidth="1"/>
    <col min="7685" max="7685" width="12.28515625" style="276" customWidth="1"/>
    <col min="7686" max="7686" width="6.42578125" style="276" customWidth="1"/>
    <col min="7687" max="7687" width="12.85546875" style="276" customWidth="1"/>
    <col min="7688" max="7688" width="12" style="276" customWidth="1"/>
    <col min="7689" max="7690" width="0" style="276" hidden="1" customWidth="1"/>
    <col min="7691" max="7691" width="14.28515625" style="276" customWidth="1"/>
    <col min="7692" max="7694" width="11.7109375" style="276" customWidth="1"/>
    <col min="7695" max="7704" width="11.5703125" style="276"/>
    <col min="7705" max="7744" width="0" style="276" hidden="1" customWidth="1"/>
    <col min="7745" max="7936" width="11.5703125" style="276"/>
    <col min="7937" max="7937" width="3.7109375" style="276" customWidth="1"/>
    <col min="7938" max="7938" width="7.5703125" style="276" customWidth="1"/>
    <col min="7939" max="7939" width="14.28515625" style="276" customWidth="1"/>
    <col min="7940" max="7940" width="34.5703125" style="276" customWidth="1"/>
    <col min="7941" max="7941" width="12.28515625" style="276" customWidth="1"/>
    <col min="7942" max="7942" width="6.42578125" style="276" customWidth="1"/>
    <col min="7943" max="7943" width="12.85546875" style="276" customWidth="1"/>
    <col min="7944" max="7944" width="12" style="276" customWidth="1"/>
    <col min="7945" max="7946" width="0" style="276" hidden="1" customWidth="1"/>
    <col min="7947" max="7947" width="14.28515625" style="276" customWidth="1"/>
    <col min="7948" max="7950" width="11.7109375" style="276" customWidth="1"/>
    <col min="7951" max="7960" width="11.5703125" style="276"/>
    <col min="7961" max="8000" width="0" style="276" hidden="1" customWidth="1"/>
    <col min="8001" max="8192" width="11.5703125" style="276"/>
    <col min="8193" max="8193" width="3.7109375" style="276" customWidth="1"/>
    <col min="8194" max="8194" width="7.5703125" style="276" customWidth="1"/>
    <col min="8195" max="8195" width="14.28515625" style="276" customWidth="1"/>
    <col min="8196" max="8196" width="34.5703125" style="276" customWidth="1"/>
    <col min="8197" max="8197" width="12.28515625" style="276" customWidth="1"/>
    <col min="8198" max="8198" width="6.42578125" style="276" customWidth="1"/>
    <col min="8199" max="8199" width="12.85546875" style="276" customWidth="1"/>
    <col min="8200" max="8200" width="12" style="276" customWidth="1"/>
    <col min="8201" max="8202" width="0" style="276" hidden="1" customWidth="1"/>
    <col min="8203" max="8203" width="14.28515625" style="276" customWidth="1"/>
    <col min="8204" max="8206" width="11.7109375" style="276" customWidth="1"/>
    <col min="8207" max="8216" width="11.5703125" style="276"/>
    <col min="8217" max="8256" width="0" style="276" hidden="1" customWidth="1"/>
    <col min="8257" max="8448" width="11.5703125" style="276"/>
    <col min="8449" max="8449" width="3.7109375" style="276" customWidth="1"/>
    <col min="8450" max="8450" width="7.5703125" style="276" customWidth="1"/>
    <col min="8451" max="8451" width="14.28515625" style="276" customWidth="1"/>
    <col min="8452" max="8452" width="34.5703125" style="276" customWidth="1"/>
    <col min="8453" max="8453" width="12.28515625" style="276" customWidth="1"/>
    <col min="8454" max="8454" width="6.42578125" style="276" customWidth="1"/>
    <col min="8455" max="8455" width="12.85546875" style="276" customWidth="1"/>
    <col min="8456" max="8456" width="12" style="276" customWidth="1"/>
    <col min="8457" max="8458" width="0" style="276" hidden="1" customWidth="1"/>
    <col min="8459" max="8459" width="14.28515625" style="276" customWidth="1"/>
    <col min="8460" max="8462" width="11.7109375" style="276" customWidth="1"/>
    <col min="8463" max="8472" width="11.5703125" style="276"/>
    <col min="8473" max="8512" width="0" style="276" hidden="1" customWidth="1"/>
    <col min="8513" max="8704" width="11.5703125" style="276"/>
    <col min="8705" max="8705" width="3.7109375" style="276" customWidth="1"/>
    <col min="8706" max="8706" width="7.5703125" style="276" customWidth="1"/>
    <col min="8707" max="8707" width="14.28515625" style="276" customWidth="1"/>
    <col min="8708" max="8708" width="34.5703125" style="276" customWidth="1"/>
    <col min="8709" max="8709" width="12.28515625" style="276" customWidth="1"/>
    <col min="8710" max="8710" width="6.42578125" style="276" customWidth="1"/>
    <col min="8711" max="8711" width="12.85546875" style="276" customWidth="1"/>
    <col min="8712" max="8712" width="12" style="276" customWidth="1"/>
    <col min="8713" max="8714" width="0" style="276" hidden="1" customWidth="1"/>
    <col min="8715" max="8715" width="14.28515625" style="276" customWidth="1"/>
    <col min="8716" max="8718" width="11.7109375" style="276" customWidth="1"/>
    <col min="8719" max="8728" width="11.5703125" style="276"/>
    <col min="8729" max="8768" width="0" style="276" hidden="1" customWidth="1"/>
    <col min="8769" max="8960" width="11.5703125" style="276"/>
    <col min="8961" max="8961" width="3.7109375" style="276" customWidth="1"/>
    <col min="8962" max="8962" width="7.5703125" style="276" customWidth="1"/>
    <col min="8963" max="8963" width="14.28515625" style="276" customWidth="1"/>
    <col min="8964" max="8964" width="34.5703125" style="276" customWidth="1"/>
    <col min="8965" max="8965" width="12.28515625" style="276" customWidth="1"/>
    <col min="8966" max="8966" width="6.42578125" style="276" customWidth="1"/>
    <col min="8967" max="8967" width="12.85546875" style="276" customWidth="1"/>
    <col min="8968" max="8968" width="12" style="276" customWidth="1"/>
    <col min="8969" max="8970" width="0" style="276" hidden="1" customWidth="1"/>
    <col min="8971" max="8971" width="14.28515625" style="276" customWidth="1"/>
    <col min="8972" max="8974" width="11.7109375" style="276" customWidth="1"/>
    <col min="8975" max="8984" width="11.5703125" style="276"/>
    <col min="8985" max="9024" width="0" style="276" hidden="1" customWidth="1"/>
    <col min="9025" max="9216" width="11.5703125" style="276"/>
    <col min="9217" max="9217" width="3.7109375" style="276" customWidth="1"/>
    <col min="9218" max="9218" width="7.5703125" style="276" customWidth="1"/>
    <col min="9219" max="9219" width="14.28515625" style="276" customWidth="1"/>
    <col min="9220" max="9220" width="34.5703125" style="276" customWidth="1"/>
    <col min="9221" max="9221" width="12.28515625" style="276" customWidth="1"/>
    <col min="9222" max="9222" width="6.42578125" style="276" customWidth="1"/>
    <col min="9223" max="9223" width="12.85546875" style="276" customWidth="1"/>
    <col min="9224" max="9224" width="12" style="276" customWidth="1"/>
    <col min="9225" max="9226" width="0" style="276" hidden="1" customWidth="1"/>
    <col min="9227" max="9227" width="14.28515625" style="276" customWidth="1"/>
    <col min="9228" max="9230" width="11.7109375" style="276" customWidth="1"/>
    <col min="9231" max="9240" width="11.5703125" style="276"/>
    <col min="9241" max="9280" width="0" style="276" hidden="1" customWidth="1"/>
    <col min="9281" max="9472" width="11.5703125" style="276"/>
    <col min="9473" max="9473" width="3.7109375" style="276" customWidth="1"/>
    <col min="9474" max="9474" width="7.5703125" style="276" customWidth="1"/>
    <col min="9475" max="9475" width="14.28515625" style="276" customWidth="1"/>
    <col min="9476" max="9476" width="34.5703125" style="276" customWidth="1"/>
    <col min="9477" max="9477" width="12.28515625" style="276" customWidth="1"/>
    <col min="9478" max="9478" width="6.42578125" style="276" customWidth="1"/>
    <col min="9479" max="9479" width="12.85546875" style="276" customWidth="1"/>
    <col min="9480" max="9480" width="12" style="276" customWidth="1"/>
    <col min="9481" max="9482" width="0" style="276" hidden="1" customWidth="1"/>
    <col min="9483" max="9483" width="14.28515625" style="276" customWidth="1"/>
    <col min="9484" max="9486" width="11.7109375" style="276" customWidth="1"/>
    <col min="9487" max="9496" width="11.5703125" style="276"/>
    <col min="9497" max="9536" width="0" style="276" hidden="1" customWidth="1"/>
    <col min="9537" max="9728" width="11.5703125" style="276"/>
    <col min="9729" max="9729" width="3.7109375" style="276" customWidth="1"/>
    <col min="9730" max="9730" width="7.5703125" style="276" customWidth="1"/>
    <col min="9731" max="9731" width="14.28515625" style="276" customWidth="1"/>
    <col min="9732" max="9732" width="34.5703125" style="276" customWidth="1"/>
    <col min="9733" max="9733" width="12.28515625" style="276" customWidth="1"/>
    <col min="9734" max="9734" width="6.42578125" style="276" customWidth="1"/>
    <col min="9735" max="9735" width="12.85546875" style="276" customWidth="1"/>
    <col min="9736" max="9736" width="12" style="276" customWidth="1"/>
    <col min="9737" max="9738" width="0" style="276" hidden="1" customWidth="1"/>
    <col min="9739" max="9739" width="14.28515625" style="276" customWidth="1"/>
    <col min="9740" max="9742" width="11.7109375" style="276" customWidth="1"/>
    <col min="9743" max="9752" width="11.5703125" style="276"/>
    <col min="9753" max="9792" width="0" style="276" hidden="1" customWidth="1"/>
    <col min="9793" max="9984" width="11.5703125" style="276"/>
    <col min="9985" max="9985" width="3.7109375" style="276" customWidth="1"/>
    <col min="9986" max="9986" width="7.5703125" style="276" customWidth="1"/>
    <col min="9987" max="9987" width="14.28515625" style="276" customWidth="1"/>
    <col min="9988" max="9988" width="34.5703125" style="276" customWidth="1"/>
    <col min="9989" max="9989" width="12.28515625" style="276" customWidth="1"/>
    <col min="9990" max="9990" width="6.42578125" style="276" customWidth="1"/>
    <col min="9991" max="9991" width="12.85546875" style="276" customWidth="1"/>
    <col min="9992" max="9992" width="12" style="276" customWidth="1"/>
    <col min="9993" max="9994" width="0" style="276" hidden="1" customWidth="1"/>
    <col min="9995" max="9995" width="14.28515625" style="276" customWidth="1"/>
    <col min="9996" max="9998" width="11.7109375" style="276" customWidth="1"/>
    <col min="9999" max="10008" width="11.5703125" style="276"/>
    <col min="10009" max="10048" width="0" style="276" hidden="1" customWidth="1"/>
    <col min="10049" max="10240" width="11.5703125" style="276"/>
    <col min="10241" max="10241" width="3.7109375" style="276" customWidth="1"/>
    <col min="10242" max="10242" width="7.5703125" style="276" customWidth="1"/>
    <col min="10243" max="10243" width="14.28515625" style="276" customWidth="1"/>
    <col min="10244" max="10244" width="34.5703125" style="276" customWidth="1"/>
    <col min="10245" max="10245" width="12.28515625" style="276" customWidth="1"/>
    <col min="10246" max="10246" width="6.42578125" style="276" customWidth="1"/>
    <col min="10247" max="10247" width="12.85546875" style="276" customWidth="1"/>
    <col min="10248" max="10248" width="12" style="276" customWidth="1"/>
    <col min="10249" max="10250" width="0" style="276" hidden="1" customWidth="1"/>
    <col min="10251" max="10251" width="14.28515625" style="276" customWidth="1"/>
    <col min="10252" max="10254" width="11.7109375" style="276" customWidth="1"/>
    <col min="10255" max="10264" width="11.5703125" style="276"/>
    <col min="10265" max="10304" width="0" style="276" hidden="1" customWidth="1"/>
    <col min="10305" max="10496" width="11.5703125" style="276"/>
    <col min="10497" max="10497" width="3.7109375" style="276" customWidth="1"/>
    <col min="10498" max="10498" width="7.5703125" style="276" customWidth="1"/>
    <col min="10499" max="10499" width="14.28515625" style="276" customWidth="1"/>
    <col min="10500" max="10500" width="34.5703125" style="276" customWidth="1"/>
    <col min="10501" max="10501" width="12.28515625" style="276" customWidth="1"/>
    <col min="10502" max="10502" width="6.42578125" style="276" customWidth="1"/>
    <col min="10503" max="10503" width="12.85546875" style="276" customWidth="1"/>
    <col min="10504" max="10504" width="12" style="276" customWidth="1"/>
    <col min="10505" max="10506" width="0" style="276" hidden="1" customWidth="1"/>
    <col min="10507" max="10507" width="14.28515625" style="276" customWidth="1"/>
    <col min="10508" max="10510" width="11.7109375" style="276" customWidth="1"/>
    <col min="10511" max="10520" width="11.5703125" style="276"/>
    <col min="10521" max="10560" width="0" style="276" hidden="1" customWidth="1"/>
    <col min="10561" max="10752" width="11.5703125" style="276"/>
    <col min="10753" max="10753" width="3.7109375" style="276" customWidth="1"/>
    <col min="10754" max="10754" width="7.5703125" style="276" customWidth="1"/>
    <col min="10755" max="10755" width="14.28515625" style="276" customWidth="1"/>
    <col min="10756" max="10756" width="34.5703125" style="276" customWidth="1"/>
    <col min="10757" max="10757" width="12.28515625" style="276" customWidth="1"/>
    <col min="10758" max="10758" width="6.42578125" style="276" customWidth="1"/>
    <col min="10759" max="10759" width="12.85546875" style="276" customWidth="1"/>
    <col min="10760" max="10760" width="12" style="276" customWidth="1"/>
    <col min="10761" max="10762" width="0" style="276" hidden="1" customWidth="1"/>
    <col min="10763" max="10763" width="14.28515625" style="276" customWidth="1"/>
    <col min="10764" max="10766" width="11.7109375" style="276" customWidth="1"/>
    <col min="10767" max="10776" width="11.5703125" style="276"/>
    <col min="10777" max="10816" width="0" style="276" hidden="1" customWidth="1"/>
    <col min="10817" max="11008" width="11.5703125" style="276"/>
    <col min="11009" max="11009" width="3.7109375" style="276" customWidth="1"/>
    <col min="11010" max="11010" width="7.5703125" style="276" customWidth="1"/>
    <col min="11011" max="11011" width="14.28515625" style="276" customWidth="1"/>
    <col min="11012" max="11012" width="34.5703125" style="276" customWidth="1"/>
    <col min="11013" max="11013" width="12.28515625" style="276" customWidth="1"/>
    <col min="11014" max="11014" width="6.42578125" style="276" customWidth="1"/>
    <col min="11015" max="11015" width="12.85546875" style="276" customWidth="1"/>
    <col min="11016" max="11016" width="12" style="276" customWidth="1"/>
    <col min="11017" max="11018" width="0" style="276" hidden="1" customWidth="1"/>
    <col min="11019" max="11019" width="14.28515625" style="276" customWidth="1"/>
    <col min="11020" max="11022" width="11.7109375" style="276" customWidth="1"/>
    <col min="11023" max="11032" width="11.5703125" style="276"/>
    <col min="11033" max="11072" width="0" style="276" hidden="1" customWidth="1"/>
    <col min="11073" max="11264" width="11.5703125" style="276"/>
    <col min="11265" max="11265" width="3.7109375" style="276" customWidth="1"/>
    <col min="11266" max="11266" width="7.5703125" style="276" customWidth="1"/>
    <col min="11267" max="11267" width="14.28515625" style="276" customWidth="1"/>
    <col min="11268" max="11268" width="34.5703125" style="276" customWidth="1"/>
    <col min="11269" max="11269" width="12.28515625" style="276" customWidth="1"/>
    <col min="11270" max="11270" width="6.42578125" style="276" customWidth="1"/>
    <col min="11271" max="11271" width="12.85546875" style="276" customWidth="1"/>
    <col min="11272" max="11272" width="12" style="276" customWidth="1"/>
    <col min="11273" max="11274" width="0" style="276" hidden="1" customWidth="1"/>
    <col min="11275" max="11275" width="14.28515625" style="276" customWidth="1"/>
    <col min="11276" max="11278" width="11.7109375" style="276" customWidth="1"/>
    <col min="11279" max="11288" width="11.5703125" style="276"/>
    <col min="11289" max="11328" width="0" style="276" hidden="1" customWidth="1"/>
    <col min="11329" max="11520" width="11.5703125" style="276"/>
    <col min="11521" max="11521" width="3.7109375" style="276" customWidth="1"/>
    <col min="11522" max="11522" width="7.5703125" style="276" customWidth="1"/>
    <col min="11523" max="11523" width="14.28515625" style="276" customWidth="1"/>
    <col min="11524" max="11524" width="34.5703125" style="276" customWidth="1"/>
    <col min="11525" max="11525" width="12.28515625" style="276" customWidth="1"/>
    <col min="11526" max="11526" width="6.42578125" style="276" customWidth="1"/>
    <col min="11527" max="11527" width="12.85546875" style="276" customWidth="1"/>
    <col min="11528" max="11528" width="12" style="276" customWidth="1"/>
    <col min="11529" max="11530" width="0" style="276" hidden="1" customWidth="1"/>
    <col min="11531" max="11531" width="14.28515625" style="276" customWidth="1"/>
    <col min="11532" max="11534" width="11.7109375" style="276" customWidth="1"/>
    <col min="11535" max="11544" width="11.5703125" style="276"/>
    <col min="11545" max="11584" width="0" style="276" hidden="1" customWidth="1"/>
    <col min="11585" max="11776" width="11.5703125" style="276"/>
    <col min="11777" max="11777" width="3.7109375" style="276" customWidth="1"/>
    <col min="11778" max="11778" width="7.5703125" style="276" customWidth="1"/>
    <col min="11779" max="11779" width="14.28515625" style="276" customWidth="1"/>
    <col min="11780" max="11780" width="34.5703125" style="276" customWidth="1"/>
    <col min="11781" max="11781" width="12.28515625" style="276" customWidth="1"/>
    <col min="11782" max="11782" width="6.42578125" style="276" customWidth="1"/>
    <col min="11783" max="11783" width="12.85546875" style="276" customWidth="1"/>
    <col min="11784" max="11784" width="12" style="276" customWidth="1"/>
    <col min="11785" max="11786" width="0" style="276" hidden="1" customWidth="1"/>
    <col min="11787" max="11787" width="14.28515625" style="276" customWidth="1"/>
    <col min="11788" max="11790" width="11.7109375" style="276" customWidth="1"/>
    <col min="11791" max="11800" width="11.5703125" style="276"/>
    <col min="11801" max="11840" width="0" style="276" hidden="1" customWidth="1"/>
    <col min="11841" max="12032" width="11.5703125" style="276"/>
    <col min="12033" max="12033" width="3.7109375" style="276" customWidth="1"/>
    <col min="12034" max="12034" width="7.5703125" style="276" customWidth="1"/>
    <col min="12035" max="12035" width="14.28515625" style="276" customWidth="1"/>
    <col min="12036" max="12036" width="34.5703125" style="276" customWidth="1"/>
    <col min="12037" max="12037" width="12.28515625" style="276" customWidth="1"/>
    <col min="12038" max="12038" width="6.42578125" style="276" customWidth="1"/>
    <col min="12039" max="12039" width="12.85546875" style="276" customWidth="1"/>
    <col min="12040" max="12040" width="12" style="276" customWidth="1"/>
    <col min="12041" max="12042" width="0" style="276" hidden="1" customWidth="1"/>
    <col min="12043" max="12043" width="14.28515625" style="276" customWidth="1"/>
    <col min="12044" max="12046" width="11.7109375" style="276" customWidth="1"/>
    <col min="12047" max="12056" width="11.5703125" style="276"/>
    <col min="12057" max="12096" width="0" style="276" hidden="1" customWidth="1"/>
    <col min="12097" max="12288" width="11.5703125" style="276"/>
    <col min="12289" max="12289" width="3.7109375" style="276" customWidth="1"/>
    <col min="12290" max="12290" width="7.5703125" style="276" customWidth="1"/>
    <col min="12291" max="12291" width="14.28515625" style="276" customWidth="1"/>
    <col min="12292" max="12292" width="34.5703125" style="276" customWidth="1"/>
    <col min="12293" max="12293" width="12.28515625" style="276" customWidth="1"/>
    <col min="12294" max="12294" width="6.42578125" style="276" customWidth="1"/>
    <col min="12295" max="12295" width="12.85546875" style="276" customWidth="1"/>
    <col min="12296" max="12296" width="12" style="276" customWidth="1"/>
    <col min="12297" max="12298" width="0" style="276" hidden="1" customWidth="1"/>
    <col min="12299" max="12299" width="14.28515625" style="276" customWidth="1"/>
    <col min="12300" max="12302" width="11.7109375" style="276" customWidth="1"/>
    <col min="12303" max="12312" width="11.5703125" style="276"/>
    <col min="12313" max="12352" width="0" style="276" hidden="1" customWidth="1"/>
    <col min="12353" max="12544" width="11.5703125" style="276"/>
    <col min="12545" max="12545" width="3.7109375" style="276" customWidth="1"/>
    <col min="12546" max="12546" width="7.5703125" style="276" customWidth="1"/>
    <col min="12547" max="12547" width="14.28515625" style="276" customWidth="1"/>
    <col min="12548" max="12548" width="34.5703125" style="276" customWidth="1"/>
    <col min="12549" max="12549" width="12.28515625" style="276" customWidth="1"/>
    <col min="12550" max="12550" width="6.42578125" style="276" customWidth="1"/>
    <col min="12551" max="12551" width="12.85546875" style="276" customWidth="1"/>
    <col min="12552" max="12552" width="12" style="276" customWidth="1"/>
    <col min="12553" max="12554" width="0" style="276" hidden="1" customWidth="1"/>
    <col min="12555" max="12555" width="14.28515625" style="276" customWidth="1"/>
    <col min="12556" max="12558" width="11.7109375" style="276" customWidth="1"/>
    <col min="12559" max="12568" width="11.5703125" style="276"/>
    <col min="12569" max="12608" width="0" style="276" hidden="1" customWidth="1"/>
    <col min="12609" max="12800" width="11.5703125" style="276"/>
    <col min="12801" max="12801" width="3.7109375" style="276" customWidth="1"/>
    <col min="12802" max="12802" width="7.5703125" style="276" customWidth="1"/>
    <col min="12803" max="12803" width="14.28515625" style="276" customWidth="1"/>
    <col min="12804" max="12804" width="34.5703125" style="276" customWidth="1"/>
    <col min="12805" max="12805" width="12.28515625" style="276" customWidth="1"/>
    <col min="12806" max="12806" width="6.42578125" style="276" customWidth="1"/>
    <col min="12807" max="12807" width="12.85546875" style="276" customWidth="1"/>
    <col min="12808" max="12808" width="12" style="276" customWidth="1"/>
    <col min="12809" max="12810" width="0" style="276" hidden="1" customWidth="1"/>
    <col min="12811" max="12811" width="14.28515625" style="276" customWidth="1"/>
    <col min="12812" max="12814" width="11.7109375" style="276" customWidth="1"/>
    <col min="12815" max="12824" width="11.5703125" style="276"/>
    <col min="12825" max="12864" width="0" style="276" hidden="1" customWidth="1"/>
    <col min="12865" max="13056" width="11.5703125" style="276"/>
    <col min="13057" max="13057" width="3.7109375" style="276" customWidth="1"/>
    <col min="13058" max="13058" width="7.5703125" style="276" customWidth="1"/>
    <col min="13059" max="13059" width="14.28515625" style="276" customWidth="1"/>
    <col min="13060" max="13060" width="34.5703125" style="276" customWidth="1"/>
    <col min="13061" max="13061" width="12.28515625" style="276" customWidth="1"/>
    <col min="13062" max="13062" width="6.42578125" style="276" customWidth="1"/>
    <col min="13063" max="13063" width="12.85546875" style="276" customWidth="1"/>
    <col min="13064" max="13064" width="12" style="276" customWidth="1"/>
    <col min="13065" max="13066" width="0" style="276" hidden="1" customWidth="1"/>
    <col min="13067" max="13067" width="14.28515625" style="276" customWidth="1"/>
    <col min="13068" max="13070" width="11.7109375" style="276" customWidth="1"/>
    <col min="13071" max="13080" width="11.5703125" style="276"/>
    <col min="13081" max="13120" width="0" style="276" hidden="1" customWidth="1"/>
    <col min="13121" max="13312" width="11.5703125" style="276"/>
    <col min="13313" max="13313" width="3.7109375" style="276" customWidth="1"/>
    <col min="13314" max="13314" width="7.5703125" style="276" customWidth="1"/>
    <col min="13315" max="13315" width="14.28515625" style="276" customWidth="1"/>
    <col min="13316" max="13316" width="34.5703125" style="276" customWidth="1"/>
    <col min="13317" max="13317" width="12.28515625" style="276" customWidth="1"/>
    <col min="13318" max="13318" width="6.42578125" style="276" customWidth="1"/>
    <col min="13319" max="13319" width="12.85546875" style="276" customWidth="1"/>
    <col min="13320" max="13320" width="12" style="276" customWidth="1"/>
    <col min="13321" max="13322" width="0" style="276" hidden="1" customWidth="1"/>
    <col min="13323" max="13323" width="14.28515625" style="276" customWidth="1"/>
    <col min="13324" max="13326" width="11.7109375" style="276" customWidth="1"/>
    <col min="13327" max="13336" width="11.5703125" style="276"/>
    <col min="13337" max="13376" width="0" style="276" hidden="1" customWidth="1"/>
    <col min="13377" max="13568" width="11.5703125" style="276"/>
    <col min="13569" max="13569" width="3.7109375" style="276" customWidth="1"/>
    <col min="13570" max="13570" width="7.5703125" style="276" customWidth="1"/>
    <col min="13571" max="13571" width="14.28515625" style="276" customWidth="1"/>
    <col min="13572" max="13572" width="34.5703125" style="276" customWidth="1"/>
    <col min="13573" max="13573" width="12.28515625" style="276" customWidth="1"/>
    <col min="13574" max="13574" width="6.42578125" style="276" customWidth="1"/>
    <col min="13575" max="13575" width="12.85546875" style="276" customWidth="1"/>
    <col min="13576" max="13576" width="12" style="276" customWidth="1"/>
    <col min="13577" max="13578" width="0" style="276" hidden="1" customWidth="1"/>
    <col min="13579" max="13579" width="14.28515625" style="276" customWidth="1"/>
    <col min="13580" max="13582" width="11.7109375" style="276" customWidth="1"/>
    <col min="13583" max="13592" width="11.5703125" style="276"/>
    <col min="13593" max="13632" width="0" style="276" hidden="1" customWidth="1"/>
    <col min="13633" max="13824" width="11.5703125" style="276"/>
    <col min="13825" max="13825" width="3.7109375" style="276" customWidth="1"/>
    <col min="13826" max="13826" width="7.5703125" style="276" customWidth="1"/>
    <col min="13827" max="13827" width="14.28515625" style="276" customWidth="1"/>
    <col min="13828" max="13828" width="34.5703125" style="276" customWidth="1"/>
    <col min="13829" max="13829" width="12.28515625" style="276" customWidth="1"/>
    <col min="13830" max="13830" width="6.42578125" style="276" customWidth="1"/>
    <col min="13831" max="13831" width="12.85546875" style="276" customWidth="1"/>
    <col min="13832" max="13832" width="12" style="276" customWidth="1"/>
    <col min="13833" max="13834" width="0" style="276" hidden="1" customWidth="1"/>
    <col min="13835" max="13835" width="14.28515625" style="276" customWidth="1"/>
    <col min="13836" max="13838" width="11.7109375" style="276" customWidth="1"/>
    <col min="13839" max="13848" width="11.5703125" style="276"/>
    <col min="13849" max="13888" width="0" style="276" hidden="1" customWidth="1"/>
    <col min="13889" max="14080" width="11.5703125" style="276"/>
    <col min="14081" max="14081" width="3.7109375" style="276" customWidth="1"/>
    <col min="14082" max="14082" width="7.5703125" style="276" customWidth="1"/>
    <col min="14083" max="14083" width="14.28515625" style="276" customWidth="1"/>
    <col min="14084" max="14084" width="34.5703125" style="276" customWidth="1"/>
    <col min="14085" max="14085" width="12.28515625" style="276" customWidth="1"/>
    <col min="14086" max="14086" width="6.42578125" style="276" customWidth="1"/>
    <col min="14087" max="14087" width="12.85546875" style="276" customWidth="1"/>
    <col min="14088" max="14088" width="12" style="276" customWidth="1"/>
    <col min="14089" max="14090" width="0" style="276" hidden="1" customWidth="1"/>
    <col min="14091" max="14091" width="14.28515625" style="276" customWidth="1"/>
    <col min="14092" max="14094" width="11.7109375" style="276" customWidth="1"/>
    <col min="14095" max="14104" width="11.5703125" style="276"/>
    <col min="14105" max="14144" width="0" style="276" hidden="1" customWidth="1"/>
    <col min="14145" max="14336" width="11.5703125" style="276"/>
    <col min="14337" max="14337" width="3.7109375" style="276" customWidth="1"/>
    <col min="14338" max="14338" width="7.5703125" style="276" customWidth="1"/>
    <col min="14339" max="14339" width="14.28515625" style="276" customWidth="1"/>
    <col min="14340" max="14340" width="34.5703125" style="276" customWidth="1"/>
    <col min="14341" max="14341" width="12.28515625" style="276" customWidth="1"/>
    <col min="14342" max="14342" width="6.42578125" style="276" customWidth="1"/>
    <col min="14343" max="14343" width="12.85546875" style="276" customWidth="1"/>
    <col min="14344" max="14344" width="12" style="276" customWidth="1"/>
    <col min="14345" max="14346" width="0" style="276" hidden="1" customWidth="1"/>
    <col min="14347" max="14347" width="14.28515625" style="276" customWidth="1"/>
    <col min="14348" max="14350" width="11.7109375" style="276" customWidth="1"/>
    <col min="14351" max="14360" width="11.5703125" style="276"/>
    <col min="14361" max="14400" width="0" style="276" hidden="1" customWidth="1"/>
    <col min="14401" max="14592" width="11.5703125" style="276"/>
    <col min="14593" max="14593" width="3.7109375" style="276" customWidth="1"/>
    <col min="14594" max="14594" width="7.5703125" style="276" customWidth="1"/>
    <col min="14595" max="14595" width="14.28515625" style="276" customWidth="1"/>
    <col min="14596" max="14596" width="34.5703125" style="276" customWidth="1"/>
    <col min="14597" max="14597" width="12.28515625" style="276" customWidth="1"/>
    <col min="14598" max="14598" width="6.42578125" style="276" customWidth="1"/>
    <col min="14599" max="14599" width="12.85546875" style="276" customWidth="1"/>
    <col min="14600" max="14600" width="12" style="276" customWidth="1"/>
    <col min="14601" max="14602" width="0" style="276" hidden="1" customWidth="1"/>
    <col min="14603" max="14603" width="14.28515625" style="276" customWidth="1"/>
    <col min="14604" max="14606" width="11.7109375" style="276" customWidth="1"/>
    <col min="14607" max="14616" width="11.5703125" style="276"/>
    <col min="14617" max="14656" width="0" style="276" hidden="1" customWidth="1"/>
    <col min="14657" max="14848" width="11.5703125" style="276"/>
    <col min="14849" max="14849" width="3.7109375" style="276" customWidth="1"/>
    <col min="14850" max="14850" width="7.5703125" style="276" customWidth="1"/>
    <col min="14851" max="14851" width="14.28515625" style="276" customWidth="1"/>
    <col min="14852" max="14852" width="34.5703125" style="276" customWidth="1"/>
    <col min="14853" max="14853" width="12.28515625" style="276" customWidth="1"/>
    <col min="14854" max="14854" width="6.42578125" style="276" customWidth="1"/>
    <col min="14855" max="14855" width="12.85546875" style="276" customWidth="1"/>
    <col min="14856" max="14856" width="12" style="276" customWidth="1"/>
    <col min="14857" max="14858" width="0" style="276" hidden="1" customWidth="1"/>
    <col min="14859" max="14859" width="14.28515625" style="276" customWidth="1"/>
    <col min="14860" max="14862" width="11.7109375" style="276" customWidth="1"/>
    <col min="14863" max="14872" width="11.5703125" style="276"/>
    <col min="14873" max="14912" width="0" style="276" hidden="1" customWidth="1"/>
    <col min="14913" max="15104" width="11.5703125" style="276"/>
    <col min="15105" max="15105" width="3.7109375" style="276" customWidth="1"/>
    <col min="15106" max="15106" width="7.5703125" style="276" customWidth="1"/>
    <col min="15107" max="15107" width="14.28515625" style="276" customWidth="1"/>
    <col min="15108" max="15108" width="34.5703125" style="276" customWidth="1"/>
    <col min="15109" max="15109" width="12.28515625" style="276" customWidth="1"/>
    <col min="15110" max="15110" width="6.42578125" style="276" customWidth="1"/>
    <col min="15111" max="15111" width="12.85546875" style="276" customWidth="1"/>
    <col min="15112" max="15112" width="12" style="276" customWidth="1"/>
    <col min="15113" max="15114" width="0" style="276" hidden="1" customWidth="1"/>
    <col min="15115" max="15115" width="14.28515625" style="276" customWidth="1"/>
    <col min="15116" max="15118" width="11.7109375" style="276" customWidth="1"/>
    <col min="15119" max="15128" width="11.5703125" style="276"/>
    <col min="15129" max="15168" width="0" style="276" hidden="1" customWidth="1"/>
    <col min="15169" max="15360" width="11.5703125" style="276"/>
    <col min="15361" max="15361" width="3.7109375" style="276" customWidth="1"/>
    <col min="15362" max="15362" width="7.5703125" style="276" customWidth="1"/>
    <col min="15363" max="15363" width="14.28515625" style="276" customWidth="1"/>
    <col min="15364" max="15364" width="34.5703125" style="276" customWidth="1"/>
    <col min="15365" max="15365" width="12.28515625" style="276" customWidth="1"/>
    <col min="15366" max="15366" width="6.42578125" style="276" customWidth="1"/>
    <col min="15367" max="15367" width="12.85546875" style="276" customWidth="1"/>
    <col min="15368" max="15368" width="12" style="276" customWidth="1"/>
    <col min="15369" max="15370" width="0" style="276" hidden="1" customWidth="1"/>
    <col min="15371" max="15371" width="14.28515625" style="276" customWidth="1"/>
    <col min="15372" max="15374" width="11.7109375" style="276" customWidth="1"/>
    <col min="15375" max="15384" width="11.5703125" style="276"/>
    <col min="15385" max="15424" width="0" style="276" hidden="1" customWidth="1"/>
    <col min="15425" max="15616" width="11.5703125" style="276"/>
    <col min="15617" max="15617" width="3.7109375" style="276" customWidth="1"/>
    <col min="15618" max="15618" width="7.5703125" style="276" customWidth="1"/>
    <col min="15619" max="15619" width="14.28515625" style="276" customWidth="1"/>
    <col min="15620" max="15620" width="34.5703125" style="276" customWidth="1"/>
    <col min="15621" max="15621" width="12.28515625" style="276" customWidth="1"/>
    <col min="15622" max="15622" width="6.42578125" style="276" customWidth="1"/>
    <col min="15623" max="15623" width="12.85546875" style="276" customWidth="1"/>
    <col min="15624" max="15624" width="12" style="276" customWidth="1"/>
    <col min="15625" max="15626" width="0" style="276" hidden="1" customWidth="1"/>
    <col min="15627" max="15627" width="14.28515625" style="276" customWidth="1"/>
    <col min="15628" max="15630" width="11.7109375" style="276" customWidth="1"/>
    <col min="15631" max="15640" width="11.5703125" style="276"/>
    <col min="15641" max="15680" width="0" style="276" hidden="1" customWidth="1"/>
    <col min="15681" max="15872" width="11.5703125" style="276"/>
    <col min="15873" max="15873" width="3.7109375" style="276" customWidth="1"/>
    <col min="15874" max="15874" width="7.5703125" style="276" customWidth="1"/>
    <col min="15875" max="15875" width="14.28515625" style="276" customWidth="1"/>
    <col min="15876" max="15876" width="34.5703125" style="276" customWidth="1"/>
    <col min="15877" max="15877" width="12.28515625" style="276" customWidth="1"/>
    <col min="15878" max="15878" width="6.42578125" style="276" customWidth="1"/>
    <col min="15879" max="15879" width="12.85546875" style="276" customWidth="1"/>
    <col min="15880" max="15880" width="12" style="276" customWidth="1"/>
    <col min="15881" max="15882" width="0" style="276" hidden="1" customWidth="1"/>
    <col min="15883" max="15883" width="14.28515625" style="276" customWidth="1"/>
    <col min="15884" max="15886" width="11.7109375" style="276" customWidth="1"/>
    <col min="15887" max="15896" width="11.5703125" style="276"/>
    <col min="15897" max="15936" width="0" style="276" hidden="1" customWidth="1"/>
    <col min="15937" max="16128" width="11.5703125" style="276"/>
    <col min="16129" max="16129" width="3.7109375" style="276" customWidth="1"/>
    <col min="16130" max="16130" width="7.5703125" style="276" customWidth="1"/>
    <col min="16131" max="16131" width="14.28515625" style="276" customWidth="1"/>
    <col min="16132" max="16132" width="34.5703125" style="276" customWidth="1"/>
    <col min="16133" max="16133" width="12.28515625" style="276" customWidth="1"/>
    <col min="16134" max="16134" width="6.42578125" style="276" customWidth="1"/>
    <col min="16135" max="16135" width="12.85546875" style="276" customWidth="1"/>
    <col min="16136" max="16136" width="12" style="276" customWidth="1"/>
    <col min="16137" max="16138" width="0" style="276" hidden="1" customWidth="1"/>
    <col min="16139" max="16139" width="14.28515625" style="276" customWidth="1"/>
    <col min="16140" max="16142" width="11.7109375" style="276" customWidth="1"/>
    <col min="16143" max="16152" width="11.5703125" style="276"/>
    <col min="16153" max="16192" width="0" style="276" hidden="1" customWidth="1"/>
    <col min="16193" max="16384" width="11.5703125" style="276"/>
  </cols>
  <sheetData>
    <row r="1" spans="1:64" ht="72.95" customHeight="1" x14ac:dyDescent="0.35">
      <c r="A1" s="275" t="s">
        <v>767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64" ht="14.65" customHeight="1" x14ac:dyDescent="0.2">
      <c r="A2" s="277" t="s">
        <v>768</v>
      </c>
      <c r="B2" s="277"/>
      <c r="C2" s="277"/>
      <c r="D2" s="278" t="s">
        <v>769</v>
      </c>
      <c r="E2" s="278"/>
      <c r="F2" s="279" t="s">
        <v>770</v>
      </c>
      <c r="G2" s="279"/>
      <c r="H2" s="279" t="s">
        <v>771</v>
      </c>
      <c r="I2" s="280" t="s">
        <v>23</v>
      </c>
      <c r="J2" s="281" t="s">
        <v>772</v>
      </c>
      <c r="K2" s="281"/>
      <c r="L2" s="281"/>
      <c r="M2" s="281"/>
      <c r="N2" s="281"/>
      <c r="O2" s="282"/>
    </row>
    <row r="3" spans="1:64" x14ac:dyDescent="0.2">
      <c r="A3" s="277"/>
      <c r="B3" s="277"/>
      <c r="C3" s="277"/>
      <c r="D3" s="278"/>
      <c r="E3" s="278"/>
      <c r="F3" s="279"/>
      <c r="G3" s="279"/>
      <c r="H3" s="279"/>
      <c r="I3" s="279"/>
      <c r="J3" s="279"/>
      <c r="K3" s="281"/>
      <c r="L3" s="281"/>
      <c r="M3" s="281"/>
      <c r="N3" s="281"/>
      <c r="O3" s="282"/>
    </row>
    <row r="4" spans="1:64" ht="14.65" customHeight="1" x14ac:dyDescent="0.2">
      <c r="A4" s="283" t="s">
        <v>773</v>
      </c>
      <c r="B4" s="283"/>
      <c r="C4" s="283"/>
      <c r="D4" s="284" t="s">
        <v>771</v>
      </c>
      <c r="E4" s="284"/>
      <c r="F4" s="285" t="s">
        <v>774</v>
      </c>
      <c r="G4" s="285"/>
      <c r="H4" s="285" t="s">
        <v>771</v>
      </c>
      <c r="I4" s="284" t="s">
        <v>21</v>
      </c>
      <c r="J4" s="286" t="s">
        <v>772</v>
      </c>
      <c r="K4" s="286"/>
      <c r="L4" s="286"/>
      <c r="M4" s="286"/>
      <c r="N4" s="286"/>
      <c r="O4" s="282"/>
    </row>
    <row r="5" spans="1:64" x14ac:dyDescent="0.2">
      <c r="A5" s="283"/>
      <c r="B5" s="283"/>
      <c r="C5" s="283"/>
      <c r="D5" s="284"/>
      <c r="E5" s="284"/>
      <c r="F5" s="285"/>
      <c r="G5" s="285"/>
      <c r="H5" s="285"/>
      <c r="I5" s="285"/>
      <c r="J5" s="285"/>
      <c r="K5" s="286"/>
      <c r="L5" s="286"/>
      <c r="M5" s="286"/>
      <c r="N5" s="286"/>
      <c r="O5" s="282"/>
    </row>
    <row r="6" spans="1:64" ht="14.65" customHeight="1" x14ac:dyDescent="0.2">
      <c r="A6" s="283" t="s">
        <v>775</v>
      </c>
      <c r="B6" s="283"/>
      <c r="C6" s="283"/>
      <c r="D6" s="284" t="s">
        <v>771</v>
      </c>
      <c r="E6" s="284"/>
      <c r="F6" s="285" t="s">
        <v>776</v>
      </c>
      <c r="G6" s="285"/>
      <c r="H6" s="285" t="s">
        <v>771</v>
      </c>
      <c r="I6" s="284" t="s">
        <v>20</v>
      </c>
      <c r="J6" s="286" t="s">
        <v>772</v>
      </c>
      <c r="K6" s="286"/>
      <c r="L6" s="286"/>
      <c r="M6" s="286"/>
      <c r="N6" s="286"/>
      <c r="O6" s="282"/>
    </row>
    <row r="7" spans="1:64" x14ac:dyDescent="0.2">
      <c r="A7" s="283"/>
      <c r="B7" s="283"/>
      <c r="C7" s="283"/>
      <c r="D7" s="284"/>
      <c r="E7" s="284"/>
      <c r="F7" s="285"/>
      <c r="G7" s="285"/>
      <c r="H7" s="285"/>
      <c r="I7" s="285"/>
      <c r="J7" s="285"/>
      <c r="K7" s="286"/>
      <c r="L7" s="286"/>
      <c r="M7" s="286"/>
      <c r="N7" s="286"/>
      <c r="O7" s="282"/>
    </row>
    <row r="8" spans="1:64" ht="14.65" customHeight="1" thickBot="1" x14ac:dyDescent="0.25">
      <c r="A8" s="287" t="s">
        <v>777</v>
      </c>
      <c r="B8" s="287"/>
      <c r="C8" s="287"/>
      <c r="D8" s="288">
        <v>8013114</v>
      </c>
      <c r="E8" s="288"/>
      <c r="F8" s="289" t="s">
        <v>778</v>
      </c>
      <c r="G8" s="289"/>
      <c r="H8" s="289"/>
      <c r="I8" s="288"/>
      <c r="J8" s="290"/>
      <c r="K8" s="290"/>
      <c r="L8" s="290"/>
      <c r="M8" s="290"/>
      <c r="N8" s="290"/>
      <c r="O8" s="282"/>
    </row>
    <row r="9" spans="1:64" ht="13.5" thickBot="1" x14ac:dyDescent="0.25">
      <c r="A9" s="287"/>
      <c r="B9" s="287"/>
      <c r="C9" s="287"/>
      <c r="D9" s="288"/>
      <c r="E9" s="288"/>
      <c r="F9" s="289"/>
      <c r="G9" s="289"/>
      <c r="H9" s="289"/>
      <c r="I9" s="289"/>
      <c r="J9" s="289"/>
      <c r="K9" s="290"/>
      <c r="L9" s="290"/>
      <c r="M9" s="290"/>
      <c r="N9" s="290"/>
      <c r="O9" s="282"/>
    </row>
    <row r="10" spans="1:64" ht="12.75" customHeight="1" x14ac:dyDescent="0.2">
      <c r="A10" s="291" t="s">
        <v>779</v>
      </c>
      <c r="B10" s="292" t="s">
        <v>780</v>
      </c>
      <c r="C10" s="292" t="s">
        <v>781</v>
      </c>
      <c r="D10" s="293" t="s">
        <v>782</v>
      </c>
      <c r="E10" s="293"/>
      <c r="F10" s="292" t="s">
        <v>119</v>
      </c>
      <c r="G10" s="294" t="s">
        <v>120</v>
      </c>
      <c r="H10" s="295" t="s">
        <v>783</v>
      </c>
      <c r="I10" s="296" t="s">
        <v>784</v>
      </c>
      <c r="J10" s="296"/>
      <c r="K10" s="296"/>
      <c r="L10" s="296" t="s">
        <v>785</v>
      </c>
      <c r="M10" s="296"/>
      <c r="N10" s="297" t="s">
        <v>786</v>
      </c>
      <c r="O10" s="298"/>
      <c r="BK10" s="299" t="s">
        <v>787</v>
      </c>
      <c r="BL10" s="300" t="s">
        <v>788</v>
      </c>
    </row>
    <row r="11" spans="1:64" ht="13.5" thickBot="1" x14ac:dyDescent="0.25">
      <c r="A11" s="301" t="s">
        <v>771</v>
      </c>
      <c r="B11" s="302" t="s">
        <v>771</v>
      </c>
      <c r="C11" s="302" t="s">
        <v>771</v>
      </c>
      <c r="D11" s="303" t="s">
        <v>789</v>
      </c>
      <c r="E11" s="303"/>
      <c r="F11" s="302" t="s">
        <v>771</v>
      </c>
      <c r="G11" s="302" t="s">
        <v>771</v>
      </c>
      <c r="H11" s="304" t="s">
        <v>790</v>
      </c>
      <c r="I11" s="305" t="s">
        <v>32</v>
      </c>
      <c r="J11" s="306" t="s">
        <v>33</v>
      </c>
      <c r="K11" s="307" t="s">
        <v>31</v>
      </c>
      <c r="L11" s="305" t="s">
        <v>791</v>
      </c>
      <c r="M11" s="307" t="s">
        <v>31</v>
      </c>
      <c r="N11" s="308" t="s">
        <v>792</v>
      </c>
      <c r="O11" s="298"/>
      <c r="Z11" s="299" t="s">
        <v>793</v>
      </c>
      <c r="AA11" s="299" t="s">
        <v>794</v>
      </c>
      <c r="AB11" s="299" t="s">
        <v>795</v>
      </c>
      <c r="AC11" s="299" t="s">
        <v>796</v>
      </c>
      <c r="AD11" s="299" t="s">
        <v>797</v>
      </c>
      <c r="AE11" s="299" t="s">
        <v>798</v>
      </c>
      <c r="AF11" s="299" t="s">
        <v>799</v>
      </c>
      <c r="AG11" s="299" t="s">
        <v>800</v>
      </c>
      <c r="AH11" s="299" t="s">
        <v>801</v>
      </c>
      <c r="BH11" s="299" t="s">
        <v>802</v>
      </c>
      <c r="BI11" s="299" t="s">
        <v>803</v>
      </c>
      <c r="BJ11" s="299" t="s">
        <v>804</v>
      </c>
    </row>
    <row r="12" spans="1:64" x14ac:dyDescent="0.2">
      <c r="A12" s="309"/>
      <c r="B12" s="310" t="s">
        <v>805</v>
      </c>
      <c r="C12" s="310"/>
      <c r="D12" s="311" t="s">
        <v>806</v>
      </c>
      <c r="E12" s="311"/>
      <c r="F12" s="312" t="s">
        <v>771</v>
      </c>
      <c r="G12" s="312" t="s">
        <v>771</v>
      </c>
      <c r="H12" s="312" t="s">
        <v>771</v>
      </c>
      <c r="I12" s="313">
        <f>I13+I16+I49+I128+I208</f>
        <v>0</v>
      </c>
      <c r="J12" s="313">
        <f>J13+J16+J49+J128+J208</f>
        <v>0</v>
      </c>
      <c r="K12" s="313">
        <f>K13+K16+K49+K128+K208</f>
        <v>0</v>
      </c>
      <c r="L12" s="314"/>
      <c r="M12" s="313">
        <f>M13+M16+M49+M128+M208</f>
        <v>8.0844391999999985</v>
      </c>
      <c r="N12" s="315"/>
      <c r="O12" s="282"/>
    </row>
    <row r="13" spans="1:64" x14ac:dyDescent="0.2">
      <c r="A13" s="316"/>
      <c r="B13" s="317" t="s">
        <v>805</v>
      </c>
      <c r="C13" s="317" t="s">
        <v>83</v>
      </c>
      <c r="D13" s="318" t="s">
        <v>84</v>
      </c>
      <c r="E13" s="318"/>
      <c r="F13" s="319" t="s">
        <v>771</v>
      </c>
      <c r="G13" s="319" t="s">
        <v>771</v>
      </c>
      <c r="H13" s="319" t="s">
        <v>771</v>
      </c>
      <c r="I13" s="320">
        <f>SUM(I14:I14)</f>
        <v>0</v>
      </c>
      <c r="J13" s="320">
        <f>SUM(J14:J14)</f>
        <v>0</v>
      </c>
      <c r="K13" s="320">
        <f>SUM(K14:K14)</f>
        <v>0</v>
      </c>
      <c r="L13" s="299"/>
      <c r="M13" s="320">
        <f>SUM(M14:M14)</f>
        <v>3.9359999999999999E-2</v>
      </c>
      <c r="N13" s="321"/>
      <c r="O13" s="282"/>
      <c r="AI13" s="299" t="s">
        <v>805</v>
      </c>
      <c r="AS13" s="320">
        <f>SUM(AJ14:AJ14)</f>
        <v>0</v>
      </c>
      <c r="AT13" s="320">
        <f>SUM(AK14:AK14)</f>
        <v>0</v>
      </c>
      <c r="AU13" s="320">
        <f>SUM(AL14:AL14)</f>
        <v>0</v>
      </c>
    </row>
    <row r="14" spans="1:64" x14ac:dyDescent="0.2">
      <c r="A14" s="322" t="s">
        <v>354</v>
      </c>
      <c r="B14" s="323" t="s">
        <v>805</v>
      </c>
      <c r="C14" s="323" t="s">
        <v>807</v>
      </c>
      <c r="D14" s="285" t="s">
        <v>808</v>
      </c>
      <c r="E14" s="285"/>
      <c r="F14" s="323" t="s">
        <v>230</v>
      </c>
      <c r="G14" s="324">
        <v>16</v>
      </c>
      <c r="H14" s="428"/>
      <c r="I14" s="324">
        <f>G14*AO14</f>
        <v>0</v>
      </c>
      <c r="J14" s="324">
        <f>G14*AP14</f>
        <v>0</v>
      </c>
      <c r="K14" s="324">
        <f>G14*H14</f>
        <v>0</v>
      </c>
      <c r="L14" s="324">
        <v>2.4599999999999999E-3</v>
      </c>
      <c r="M14" s="324">
        <f>G14*L14</f>
        <v>3.9359999999999999E-2</v>
      </c>
      <c r="N14" s="325" t="s">
        <v>809</v>
      </c>
      <c r="O14" s="282"/>
      <c r="Z14" s="324">
        <f>IF(AQ14="5",BJ14,0)</f>
        <v>0</v>
      </c>
      <c r="AB14" s="324">
        <f>IF(AQ14="1",BH14,0)</f>
        <v>0</v>
      </c>
      <c r="AC14" s="324">
        <f>IF(AQ14="1",BI14,0)</f>
        <v>0</v>
      </c>
      <c r="AD14" s="324">
        <f>IF(AQ14="7",BH14,0)</f>
        <v>0</v>
      </c>
      <c r="AE14" s="324">
        <f>IF(AQ14="7",BI14,0)</f>
        <v>0</v>
      </c>
      <c r="AF14" s="324">
        <f>IF(AQ14="2",BH14,0)</f>
        <v>0</v>
      </c>
      <c r="AG14" s="324">
        <f>IF(AQ14="2",BI14,0)</f>
        <v>0</v>
      </c>
      <c r="AH14" s="324">
        <f>IF(AQ14="0",BJ14,0)</f>
        <v>0</v>
      </c>
      <c r="AI14" s="299" t="s">
        <v>805</v>
      </c>
      <c r="AJ14" s="324">
        <f>IF(AN14=0,K14,0)</f>
        <v>0</v>
      </c>
      <c r="AK14" s="324">
        <f>IF(AN14=15,K14,0)</f>
        <v>0</v>
      </c>
      <c r="AL14" s="324">
        <f>IF(AN14=21,K14,0)</f>
        <v>0</v>
      </c>
      <c r="AN14" s="324">
        <v>21</v>
      </c>
      <c r="AO14" s="324">
        <f>H14*0.255184466019417</f>
        <v>0</v>
      </c>
      <c r="AP14" s="324">
        <f>H14*(1-0.255184466019417)</f>
        <v>0</v>
      </c>
      <c r="AQ14" s="326" t="s">
        <v>810</v>
      </c>
      <c r="AV14" s="324">
        <f>AW14+AX14</f>
        <v>0</v>
      </c>
      <c r="AW14" s="324">
        <f>G14*AO14</f>
        <v>0</v>
      </c>
      <c r="AX14" s="324">
        <f>G14*AP14</f>
        <v>0</v>
      </c>
      <c r="AY14" s="326" t="s">
        <v>811</v>
      </c>
      <c r="AZ14" s="326" t="s">
        <v>812</v>
      </c>
      <c r="BA14" s="299" t="s">
        <v>813</v>
      </c>
      <c r="BC14" s="324">
        <f>AW14+AX14</f>
        <v>0</v>
      </c>
      <c r="BD14" s="324">
        <f>H14/(100-BE14)*100</f>
        <v>0</v>
      </c>
      <c r="BE14" s="324">
        <v>0</v>
      </c>
      <c r="BF14" s="324">
        <f>M14</f>
        <v>3.9359999999999999E-2</v>
      </c>
      <c r="BH14" s="324">
        <f>G14*AO14</f>
        <v>0</v>
      </c>
      <c r="BI14" s="324">
        <f>G14*AP14</f>
        <v>0</v>
      </c>
      <c r="BJ14" s="324">
        <f>G14*H14</f>
        <v>0</v>
      </c>
      <c r="BK14" s="324" t="s">
        <v>814</v>
      </c>
      <c r="BL14" s="324">
        <v>713</v>
      </c>
    </row>
    <row r="15" spans="1:64" x14ac:dyDescent="0.2">
      <c r="A15" s="282"/>
      <c r="D15" s="327" t="s">
        <v>815</v>
      </c>
      <c r="E15" s="327"/>
      <c r="G15" s="328">
        <v>16</v>
      </c>
      <c r="H15" s="429"/>
      <c r="N15" s="329"/>
      <c r="O15" s="282"/>
    </row>
    <row r="16" spans="1:64" x14ac:dyDescent="0.2">
      <c r="A16" s="316"/>
      <c r="B16" s="317" t="s">
        <v>805</v>
      </c>
      <c r="C16" s="317" t="s">
        <v>816</v>
      </c>
      <c r="D16" s="318" t="s">
        <v>817</v>
      </c>
      <c r="E16" s="318"/>
      <c r="F16" s="319" t="s">
        <v>771</v>
      </c>
      <c r="G16" s="319" t="s">
        <v>771</v>
      </c>
      <c r="H16" s="430"/>
      <c r="I16" s="320">
        <f>SUM(I17:I48)</f>
        <v>0</v>
      </c>
      <c r="J16" s="320">
        <f>SUM(J17:J48)</f>
        <v>0</v>
      </c>
      <c r="K16" s="320">
        <f>SUM(K17:K48)</f>
        <v>0</v>
      </c>
      <c r="L16" s="299"/>
      <c r="M16" s="320">
        <f>SUM(M17:M48)</f>
        <v>3.2185009999999998</v>
      </c>
      <c r="N16" s="321"/>
      <c r="O16" s="282"/>
      <c r="AI16" s="299" t="s">
        <v>805</v>
      </c>
      <c r="AS16" s="320">
        <f>SUM(AJ17:AJ48)</f>
        <v>0</v>
      </c>
      <c r="AT16" s="320">
        <f>SUM(AK17:AK48)</f>
        <v>0</v>
      </c>
      <c r="AU16" s="320">
        <f>SUM(AL17:AL48)</f>
        <v>0</v>
      </c>
    </row>
    <row r="17" spans="1:64" x14ac:dyDescent="0.2">
      <c r="A17" s="322" t="s">
        <v>297</v>
      </c>
      <c r="B17" s="323" t="s">
        <v>805</v>
      </c>
      <c r="C17" s="323" t="s">
        <v>818</v>
      </c>
      <c r="D17" s="285" t="s">
        <v>819</v>
      </c>
      <c r="E17" s="285"/>
      <c r="F17" s="323" t="s">
        <v>375</v>
      </c>
      <c r="G17" s="324">
        <v>22.4</v>
      </c>
      <c r="H17" s="428"/>
      <c r="I17" s="324">
        <f>G17*AO17</f>
        <v>0</v>
      </c>
      <c r="J17" s="324">
        <f>G17*AP17</f>
        <v>0</v>
      </c>
      <c r="K17" s="324">
        <f>G17*H17</f>
        <v>0</v>
      </c>
      <c r="L17" s="324">
        <v>3.8000000000000002E-4</v>
      </c>
      <c r="M17" s="324">
        <f>G17*L17</f>
        <v>8.5120000000000005E-3</v>
      </c>
      <c r="N17" s="325" t="s">
        <v>809</v>
      </c>
      <c r="O17" s="282"/>
      <c r="Z17" s="324">
        <f>IF(AQ17="5",BJ17,0)</f>
        <v>0</v>
      </c>
      <c r="AB17" s="324">
        <f>IF(AQ17="1",BH17,0)</f>
        <v>0</v>
      </c>
      <c r="AC17" s="324">
        <f>IF(AQ17="1",BI17,0)</f>
        <v>0</v>
      </c>
      <c r="AD17" s="324">
        <f>IF(AQ17="7",BH17,0)</f>
        <v>0</v>
      </c>
      <c r="AE17" s="324">
        <f>IF(AQ17="7",BI17,0)</f>
        <v>0</v>
      </c>
      <c r="AF17" s="324">
        <f>IF(AQ17="2",BH17,0)</f>
        <v>0</v>
      </c>
      <c r="AG17" s="324">
        <f>IF(AQ17="2",BI17,0)</f>
        <v>0</v>
      </c>
      <c r="AH17" s="324">
        <f>IF(AQ17="0",BJ17,0)</f>
        <v>0</v>
      </c>
      <c r="AI17" s="299" t="s">
        <v>805</v>
      </c>
      <c r="AJ17" s="324">
        <f>IF(AN17=0,K17,0)</f>
        <v>0</v>
      </c>
      <c r="AK17" s="324">
        <f>IF(AN17=15,K17,0)</f>
        <v>0</v>
      </c>
      <c r="AL17" s="324">
        <f>IF(AN17=21,K17,0)</f>
        <v>0</v>
      </c>
      <c r="AN17" s="324">
        <v>21</v>
      </c>
      <c r="AO17" s="324">
        <f>H17*0.387232472324723</f>
        <v>0</v>
      </c>
      <c r="AP17" s="324">
        <f>H17*(1-0.387232472324723)</f>
        <v>0</v>
      </c>
      <c r="AQ17" s="326" t="s">
        <v>810</v>
      </c>
      <c r="AV17" s="324">
        <f>AW17+AX17</f>
        <v>0</v>
      </c>
      <c r="AW17" s="324">
        <f>G17*AO17</f>
        <v>0</v>
      </c>
      <c r="AX17" s="324">
        <f>G17*AP17</f>
        <v>0</v>
      </c>
      <c r="AY17" s="326" t="s">
        <v>820</v>
      </c>
      <c r="AZ17" s="326" t="s">
        <v>821</v>
      </c>
      <c r="BA17" s="299" t="s">
        <v>813</v>
      </c>
      <c r="BC17" s="324">
        <f>AW17+AX17</f>
        <v>0</v>
      </c>
      <c r="BD17" s="324">
        <f>H17/(100-BE17)*100</f>
        <v>0</v>
      </c>
      <c r="BE17" s="324">
        <v>0</v>
      </c>
      <c r="BF17" s="324">
        <f>M17</f>
        <v>8.5120000000000005E-3</v>
      </c>
      <c r="BH17" s="324">
        <f>G17*AO17</f>
        <v>0</v>
      </c>
      <c r="BI17" s="324">
        <f>G17*AP17</f>
        <v>0</v>
      </c>
      <c r="BJ17" s="324">
        <f>G17*H17</f>
        <v>0</v>
      </c>
      <c r="BK17" s="324" t="s">
        <v>814</v>
      </c>
      <c r="BL17" s="324">
        <v>721</v>
      </c>
    </row>
    <row r="18" spans="1:64" x14ac:dyDescent="0.2">
      <c r="A18" s="282"/>
      <c r="D18" s="327" t="s">
        <v>822</v>
      </c>
      <c r="E18" s="327"/>
      <c r="G18" s="328">
        <v>22.4</v>
      </c>
      <c r="H18" s="429"/>
      <c r="N18" s="329"/>
      <c r="O18" s="282"/>
    </row>
    <row r="19" spans="1:64" x14ac:dyDescent="0.2">
      <c r="A19" s="322" t="s">
        <v>63</v>
      </c>
      <c r="B19" s="323" t="s">
        <v>805</v>
      </c>
      <c r="C19" s="323" t="s">
        <v>823</v>
      </c>
      <c r="D19" s="285" t="s">
        <v>824</v>
      </c>
      <c r="E19" s="285"/>
      <c r="F19" s="323" t="s">
        <v>375</v>
      </c>
      <c r="G19" s="324">
        <v>33.200000000000003</v>
      </c>
      <c r="H19" s="428"/>
      <c r="I19" s="324">
        <f>G19*AO19</f>
        <v>0</v>
      </c>
      <c r="J19" s="324">
        <f>G19*AP19</f>
        <v>0</v>
      </c>
      <c r="K19" s="324">
        <f>G19*H19</f>
        <v>0</v>
      </c>
      <c r="L19" s="324">
        <v>4.6999999999999999E-4</v>
      </c>
      <c r="M19" s="324">
        <f>G19*L19</f>
        <v>1.5604000000000002E-2</v>
      </c>
      <c r="N19" s="325" t="s">
        <v>809</v>
      </c>
      <c r="O19" s="282"/>
      <c r="Z19" s="324">
        <f>IF(AQ19="5",BJ19,0)</f>
        <v>0</v>
      </c>
      <c r="AB19" s="324">
        <f>IF(AQ19="1",BH19,0)</f>
        <v>0</v>
      </c>
      <c r="AC19" s="324">
        <f>IF(AQ19="1",BI19,0)</f>
        <v>0</v>
      </c>
      <c r="AD19" s="324">
        <f>IF(AQ19="7",BH19,0)</f>
        <v>0</v>
      </c>
      <c r="AE19" s="324">
        <f>IF(AQ19="7",BI19,0)</f>
        <v>0</v>
      </c>
      <c r="AF19" s="324">
        <f>IF(AQ19="2",BH19,0)</f>
        <v>0</v>
      </c>
      <c r="AG19" s="324">
        <f>IF(AQ19="2",BI19,0)</f>
        <v>0</v>
      </c>
      <c r="AH19" s="324">
        <f>IF(AQ19="0",BJ19,0)</f>
        <v>0</v>
      </c>
      <c r="AI19" s="299" t="s">
        <v>805</v>
      </c>
      <c r="AJ19" s="324">
        <f>IF(AN19=0,K19,0)</f>
        <v>0</v>
      </c>
      <c r="AK19" s="324">
        <f>IF(AN19=15,K19,0)</f>
        <v>0</v>
      </c>
      <c r="AL19" s="324">
        <f>IF(AN19=21,K19,0)</f>
        <v>0</v>
      </c>
      <c r="AN19" s="324">
        <v>21</v>
      </c>
      <c r="AO19" s="324">
        <f>H19*0.378966666666667</f>
        <v>0</v>
      </c>
      <c r="AP19" s="324">
        <f>H19*(1-0.378966666666667)</f>
        <v>0</v>
      </c>
      <c r="AQ19" s="326" t="s">
        <v>810</v>
      </c>
      <c r="AV19" s="324">
        <f>AW19+AX19</f>
        <v>0</v>
      </c>
      <c r="AW19" s="324">
        <f>G19*AO19</f>
        <v>0</v>
      </c>
      <c r="AX19" s="324">
        <f>G19*AP19</f>
        <v>0</v>
      </c>
      <c r="AY19" s="326" t="s">
        <v>820</v>
      </c>
      <c r="AZ19" s="326" t="s">
        <v>821</v>
      </c>
      <c r="BA19" s="299" t="s">
        <v>813</v>
      </c>
      <c r="BC19" s="324">
        <f>AW19+AX19</f>
        <v>0</v>
      </c>
      <c r="BD19" s="324">
        <f>H19/(100-BE19)*100</f>
        <v>0</v>
      </c>
      <c r="BE19" s="324">
        <v>0</v>
      </c>
      <c r="BF19" s="324">
        <f>M19</f>
        <v>1.5604000000000002E-2</v>
      </c>
      <c r="BH19" s="324">
        <f>G19*AO19</f>
        <v>0</v>
      </c>
      <c r="BI19" s="324">
        <f>G19*AP19</f>
        <v>0</v>
      </c>
      <c r="BJ19" s="324">
        <f>G19*H19</f>
        <v>0</v>
      </c>
      <c r="BK19" s="324" t="s">
        <v>814</v>
      </c>
      <c r="BL19" s="324">
        <v>721</v>
      </c>
    </row>
    <row r="20" spans="1:64" x14ac:dyDescent="0.2">
      <c r="A20" s="282"/>
      <c r="D20" s="327" t="s">
        <v>825</v>
      </c>
      <c r="E20" s="327"/>
      <c r="G20" s="328">
        <v>33.200000000000003</v>
      </c>
      <c r="H20" s="429"/>
      <c r="N20" s="329"/>
      <c r="O20" s="282"/>
    </row>
    <row r="21" spans="1:64" x14ac:dyDescent="0.2">
      <c r="A21" s="322" t="s">
        <v>65</v>
      </c>
      <c r="B21" s="323" t="s">
        <v>805</v>
      </c>
      <c r="C21" s="323" t="s">
        <v>826</v>
      </c>
      <c r="D21" s="285" t="s">
        <v>827</v>
      </c>
      <c r="E21" s="285"/>
      <c r="F21" s="323" t="s">
        <v>375</v>
      </c>
      <c r="G21" s="324">
        <v>9.8000000000000007</v>
      </c>
      <c r="H21" s="428"/>
      <c r="I21" s="324">
        <f>G21*AO21</f>
        <v>0</v>
      </c>
      <c r="J21" s="324">
        <f>G21*AP21</f>
        <v>0</v>
      </c>
      <c r="K21" s="324">
        <f>G21*H21</f>
        <v>0</v>
      </c>
      <c r="L21" s="324">
        <v>6.9999999999999999E-4</v>
      </c>
      <c r="M21" s="324">
        <f>G21*L21</f>
        <v>6.8600000000000006E-3</v>
      </c>
      <c r="N21" s="325" t="s">
        <v>809</v>
      </c>
      <c r="O21" s="282"/>
      <c r="Z21" s="324">
        <f>IF(AQ21="5",BJ21,0)</f>
        <v>0</v>
      </c>
      <c r="AB21" s="324">
        <f>IF(AQ21="1",BH21,0)</f>
        <v>0</v>
      </c>
      <c r="AC21" s="324">
        <f>IF(AQ21="1",BI21,0)</f>
        <v>0</v>
      </c>
      <c r="AD21" s="324">
        <f>IF(AQ21="7",BH21,0)</f>
        <v>0</v>
      </c>
      <c r="AE21" s="324">
        <f>IF(AQ21="7",BI21,0)</f>
        <v>0</v>
      </c>
      <c r="AF21" s="324">
        <f>IF(AQ21="2",BH21,0)</f>
        <v>0</v>
      </c>
      <c r="AG21" s="324">
        <f>IF(AQ21="2",BI21,0)</f>
        <v>0</v>
      </c>
      <c r="AH21" s="324">
        <f>IF(AQ21="0",BJ21,0)</f>
        <v>0</v>
      </c>
      <c r="AI21" s="299" t="s">
        <v>805</v>
      </c>
      <c r="AJ21" s="324">
        <f>IF(AN21=0,K21,0)</f>
        <v>0</v>
      </c>
      <c r="AK21" s="324">
        <f>IF(AN21=15,K21,0)</f>
        <v>0</v>
      </c>
      <c r="AL21" s="324">
        <f>IF(AN21=21,K21,0)</f>
        <v>0</v>
      </c>
      <c r="AN21" s="324">
        <v>21</v>
      </c>
      <c r="AO21" s="324">
        <f>H21*0.401658163265306</f>
        <v>0</v>
      </c>
      <c r="AP21" s="324">
        <f>H21*(1-0.401658163265306)</f>
        <v>0</v>
      </c>
      <c r="AQ21" s="326" t="s">
        <v>810</v>
      </c>
      <c r="AV21" s="324">
        <f>AW21+AX21</f>
        <v>0</v>
      </c>
      <c r="AW21" s="324">
        <f>G21*AO21</f>
        <v>0</v>
      </c>
      <c r="AX21" s="324">
        <f>G21*AP21</f>
        <v>0</v>
      </c>
      <c r="AY21" s="326" t="s">
        <v>820</v>
      </c>
      <c r="AZ21" s="326" t="s">
        <v>821</v>
      </c>
      <c r="BA21" s="299" t="s">
        <v>813</v>
      </c>
      <c r="BC21" s="324">
        <f>AW21+AX21</f>
        <v>0</v>
      </c>
      <c r="BD21" s="324">
        <f>H21/(100-BE21)*100</f>
        <v>0</v>
      </c>
      <c r="BE21" s="324">
        <v>0</v>
      </c>
      <c r="BF21" s="324">
        <f>M21</f>
        <v>6.8600000000000006E-3</v>
      </c>
      <c r="BH21" s="324">
        <f>G21*AO21</f>
        <v>0</v>
      </c>
      <c r="BI21" s="324">
        <f>G21*AP21</f>
        <v>0</v>
      </c>
      <c r="BJ21" s="324">
        <f>G21*H21</f>
        <v>0</v>
      </c>
      <c r="BK21" s="324" t="s">
        <v>814</v>
      </c>
      <c r="BL21" s="324">
        <v>721</v>
      </c>
    </row>
    <row r="22" spans="1:64" x14ac:dyDescent="0.2">
      <c r="A22" s="282"/>
      <c r="D22" s="327" t="s">
        <v>828</v>
      </c>
      <c r="E22" s="327"/>
      <c r="G22" s="328">
        <v>9.8000000000000007</v>
      </c>
      <c r="H22" s="429"/>
      <c r="N22" s="329"/>
      <c r="O22" s="282"/>
    </row>
    <row r="23" spans="1:64" x14ac:dyDescent="0.2">
      <c r="A23" s="322" t="s">
        <v>829</v>
      </c>
      <c r="B23" s="323" t="s">
        <v>805</v>
      </c>
      <c r="C23" s="323" t="s">
        <v>830</v>
      </c>
      <c r="D23" s="285" t="s">
        <v>831</v>
      </c>
      <c r="E23" s="285"/>
      <c r="F23" s="323" t="s">
        <v>375</v>
      </c>
      <c r="G23" s="324">
        <v>24.8</v>
      </c>
      <c r="H23" s="428"/>
      <c r="I23" s="324">
        <f>G23*AO23</f>
        <v>0</v>
      </c>
      <c r="J23" s="324">
        <f>G23*AP23</f>
        <v>0</v>
      </c>
      <c r="K23" s="324">
        <f>G23*H23</f>
        <v>0</v>
      </c>
      <c r="L23" s="324">
        <v>1.5200000000000001E-3</v>
      </c>
      <c r="M23" s="324">
        <f>G23*L23</f>
        <v>3.7696E-2</v>
      </c>
      <c r="N23" s="325" t="s">
        <v>809</v>
      </c>
      <c r="O23" s="282"/>
      <c r="Z23" s="324">
        <f>IF(AQ23="5",BJ23,0)</f>
        <v>0</v>
      </c>
      <c r="AB23" s="324">
        <f>IF(AQ23="1",BH23,0)</f>
        <v>0</v>
      </c>
      <c r="AC23" s="324">
        <f>IF(AQ23="1",BI23,0)</f>
        <v>0</v>
      </c>
      <c r="AD23" s="324">
        <f>IF(AQ23="7",BH23,0)</f>
        <v>0</v>
      </c>
      <c r="AE23" s="324">
        <f>IF(AQ23="7",BI23,0)</f>
        <v>0</v>
      </c>
      <c r="AF23" s="324">
        <f>IF(AQ23="2",BH23,0)</f>
        <v>0</v>
      </c>
      <c r="AG23" s="324">
        <f>IF(AQ23="2",BI23,0)</f>
        <v>0</v>
      </c>
      <c r="AH23" s="324">
        <f>IF(AQ23="0",BJ23,0)</f>
        <v>0</v>
      </c>
      <c r="AI23" s="299" t="s">
        <v>805</v>
      </c>
      <c r="AJ23" s="324">
        <f>IF(AN23=0,K23,0)</f>
        <v>0</v>
      </c>
      <c r="AK23" s="324">
        <f>IF(AN23=15,K23,0)</f>
        <v>0</v>
      </c>
      <c r="AL23" s="324">
        <f>IF(AN23=21,K23,0)</f>
        <v>0</v>
      </c>
      <c r="AN23" s="324">
        <v>21</v>
      </c>
      <c r="AO23" s="324">
        <f>H23*0.360594921187555</f>
        <v>0</v>
      </c>
      <c r="AP23" s="324">
        <f>H23*(1-0.360594921187555)</f>
        <v>0</v>
      </c>
      <c r="AQ23" s="326" t="s">
        <v>810</v>
      </c>
      <c r="AV23" s="324">
        <f>AW23+AX23</f>
        <v>0</v>
      </c>
      <c r="AW23" s="324">
        <f>G23*AO23</f>
        <v>0</v>
      </c>
      <c r="AX23" s="324">
        <f>G23*AP23</f>
        <v>0</v>
      </c>
      <c r="AY23" s="326" t="s">
        <v>820</v>
      </c>
      <c r="AZ23" s="326" t="s">
        <v>821</v>
      </c>
      <c r="BA23" s="299" t="s">
        <v>813</v>
      </c>
      <c r="BC23" s="324">
        <f>AW23+AX23</f>
        <v>0</v>
      </c>
      <c r="BD23" s="324">
        <f>H23/(100-BE23)*100</f>
        <v>0</v>
      </c>
      <c r="BE23" s="324">
        <v>0</v>
      </c>
      <c r="BF23" s="324">
        <f>M23</f>
        <v>3.7696E-2</v>
      </c>
      <c r="BH23" s="324">
        <f>G23*AO23</f>
        <v>0</v>
      </c>
      <c r="BI23" s="324">
        <f>G23*AP23</f>
        <v>0</v>
      </c>
      <c r="BJ23" s="324">
        <f>G23*H23</f>
        <v>0</v>
      </c>
      <c r="BK23" s="324" t="s">
        <v>814</v>
      </c>
      <c r="BL23" s="324">
        <v>721</v>
      </c>
    </row>
    <row r="24" spans="1:64" x14ac:dyDescent="0.2">
      <c r="A24" s="282"/>
      <c r="D24" s="327" t="s">
        <v>832</v>
      </c>
      <c r="E24" s="327"/>
      <c r="G24" s="328">
        <v>24.8</v>
      </c>
      <c r="H24" s="429"/>
      <c r="N24" s="329"/>
      <c r="O24" s="282"/>
    </row>
    <row r="25" spans="1:64" x14ac:dyDescent="0.2">
      <c r="A25" s="322" t="s">
        <v>232</v>
      </c>
      <c r="B25" s="323" t="s">
        <v>805</v>
      </c>
      <c r="C25" s="323" t="s">
        <v>833</v>
      </c>
      <c r="D25" s="285" t="s">
        <v>834</v>
      </c>
      <c r="E25" s="285"/>
      <c r="F25" s="323" t="s">
        <v>375</v>
      </c>
      <c r="G25" s="324">
        <v>37.299999999999997</v>
      </c>
      <c r="H25" s="428"/>
      <c r="I25" s="324">
        <f>G25*AO25</f>
        <v>0</v>
      </c>
      <c r="J25" s="324">
        <f>G25*AP25</f>
        <v>0</v>
      </c>
      <c r="K25" s="324">
        <f>G25*H25</f>
        <v>0</v>
      </c>
      <c r="L25" s="324">
        <v>7.7999999999999999E-4</v>
      </c>
      <c r="M25" s="324">
        <f>G25*L25</f>
        <v>2.9093999999999998E-2</v>
      </c>
      <c r="N25" s="325" t="s">
        <v>809</v>
      </c>
      <c r="O25" s="282"/>
      <c r="Z25" s="324">
        <f>IF(AQ25="5",BJ25,0)</f>
        <v>0</v>
      </c>
      <c r="AB25" s="324">
        <f>IF(AQ25="1",BH25,0)</f>
        <v>0</v>
      </c>
      <c r="AC25" s="324">
        <f>IF(AQ25="1",BI25,0)</f>
        <v>0</v>
      </c>
      <c r="AD25" s="324">
        <f>IF(AQ25="7",BH25,0)</f>
        <v>0</v>
      </c>
      <c r="AE25" s="324">
        <f>IF(AQ25="7",BI25,0)</f>
        <v>0</v>
      </c>
      <c r="AF25" s="324">
        <f>IF(AQ25="2",BH25,0)</f>
        <v>0</v>
      </c>
      <c r="AG25" s="324">
        <f>IF(AQ25="2",BI25,0)</f>
        <v>0</v>
      </c>
      <c r="AH25" s="324">
        <f>IF(AQ25="0",BJ25,0)</f>
        <v>0</v>
      </c>
      <c r="AI25" s="299" t="s">
        <v>805</v>
      </c>
      <c r="AJ25" s="324">
        <f>IF(AN25=0,K25,0)</f>
        <v>0</v>
      </c>
      <c r="AK25" s="324">
        <f>IF(AN25=15,K25,0)</f>
        <v>0</v>
      </c>
      <c r="AL25" s="324">
        <f>IF(AN25=21,K25,0)</f>
        <v>0</v>
      </c>
      <c r="AN25" s="324">
        <v>21</v>
      </c>
      <c r="AO25" s="324">
        <f>H25*0.373057607090103</f>
        <v>0</v>
      </c>
      <c r="AP25" s="324">
        <f>H25*(1-0.373057607090103)</f>
        <v>0</v>
      </c>
      <c r="AQ25" s="326" t="s">
        <v>810</v>
      </c>
      <c r="AV25" s="324">
        <f>AW25+AX25</f>
        <v>0</v>
      </c>
      <c r="AW25" s="324">
        <f>G25*AO25</f>
        <v>0</v>
      </c>
      <c r="AX25" s="324">
        <f>G25*AP25</f>
        <v>0</v>
      </c>
      <c r="AY25" s="326" t="s">
        <v>820</v>
      </c>
      <c r="AZ25" s="326" t="s">
        <v>821</v>
      </c>
      <c r="BA25" s="299" t="s">
        <v>813</v>
      </c>
      <c r="BC25" s="324">
        <f>AW25+AX25</f>
        <v>0</v>
      </c>
      <c r="BD25" s="324">
        <f>H25/(100-BE25)*100</f>
        <v>0</v>
      </c>
      <c r="BE25" s="324">
        <v>0</v>
      </c>
      <c r="BF25" s="324">
        <f>M25</f>
        <v>2.9093999999999998E-2</v>
      </c>
      <c r="BH25" s="324">
        <f>G25*AO25</f>
        <v>0</v>
      </c>
      <c r="BI25" s="324">
        <f>G25*AP25</f>
        <v>0</v>
      </c>
      <c r="BJ25" s="324">
        <f>G25*H25</f>
        <v>0</v>
      </c>
      <c r="BK25" s="324" t="s">
        <v>814</v>
      </c>
      <c r="BL25" s="324">
        <v>721</v>
      </c>
    </row>
    <row r="26" spans="1:64" x14ac:dyDescent="0.2">
      <c r="A26" s="282"/>
      <c r="D26" s="327" t="s">
        <v>835</v>
      </c>
      <c r="E26" s="327"/>
      <c r="G26" s="328">
        <v>37.299999999999997</v>
      </c>
      <c r="H26" s="429"/>
      <c r="N26" s="329"/>
      <c r="O26" s="282"/>
    </row>
    <row r="27" spans="1:64" x14ac:dyDescent="0.2">
      <c r="A27" s="322" t="s">
        <v>810</v>
      </c>
      <c r="B27" s="323" t="s">
        <v>805</v>
      </c>
      <c r="C27" s="323" t="s">
        <v>836</v>
      </c>
      <c r="D27" s="285" t="s">
        <v>837</v>
      </c>
      <c r="E27" s="285"/>
      <c r="F27" s="323" t="s">
        <v>375</v>
      </c>
      <c r="G27" s="324">
        <v>62.1</v>
      </c>
      <c r="H27" s="428"/>
      <c r="I27" s="324">
        <f>G27*AO27</f>
        <v>0</v>
      </c>
      <c r="J27" s="324">
        <f>G27*AP27</f>
        <v>0</v>
      </c>
      <c r="K27" s="324">
        <f>G27*H27</f>
        <v>0</v>
      </c>
      <c r="L27" s="324">
        <v>1.31E-3</v>
      </c>
      <c r="M27" s="324">
        <f>G27*L27</f>
        <v>8.1351000000000007E-2</v>
      </c>
      <c r="N27" s="325" t="s">
        <v>809</v>
      </c>
      <c r="O27" s="282"/>
      <c r="Z27" s="324">
        <f>IF(AQ27="5",BJ27,0)</f>
        <v>0</v>
      </c>
      <c r="AB27" s="324">
        <f>IF(AQ27="1",BH27,0)</f>
        <v>0</v>
      </c>
      <c r="AC27" s="324">
        <f>IF(AQ27="1",BI27,0)</f>
        <v>0</v>
      </c>
      <c r="AD27" s="324">
        <f>IF(AQ27="7",BH27,0)</f>
        <v>0</v>
      </c>
      <c r="AE27" s="324">
        <f>IF(AQ27="7",BI27,0)</f>
        <v>0</v>
      </c>
      <c r="AF27" s="324">
        <f>IF(AQ27="2",BH27,0)</f>
        <v>0</v>
      </c>
      <c r="AG27" s="324">
        <f>IF(AQ27="2",BI27,0)</f>
        <v>0</v>
      </c>
      <c r="AH27" s="324">
        <f>IF(AQ27="0",BJ27,0)</f>
        <v>0</v>
      </c>
      <c r="AI27" s="299" t="s">
        <v>805</v>
      </c>
      <c r="AJ27" s="324">
        <f>IF(AN27=0,K27,0)</f>
        <v>0</v>
      </c>
      <c r="AK27" s="324">
        <f>IF(AN27=15,K27,0)</f>
        <v>0</v>
      </c>
      <c r="AL27" s="324">
        <f>IF(AN27=21,K27,0)</f>
        <v>0</v>
      </c>
      <c r="AN27" s="324">
        <v>21</v>
      </c>
      <c r="AO27" s="324">
        <f>H27*0.460098570487961</f>
        <v>0</v>
      </c>
      <c r="AP27" s="324">
        <f>H27*(1-0.460098570487961)</f>
        <v>0</v>
      </c>
      <c r="AQ27" s="326" t="s">
        <v>810</v>
      </c>
      <c r="AV27" s="324">
        <f>AW27+AX27</f>
        <v>0</v>
      </c>
      <c r="AW27" s="324">
        <f>G27*AO27</f>
        <v>0</v>
      </c>
      <c r="AX27" s="324">
        <f>G27*AP27</f>
        <v>0</v>
      </c>
      <c r="AY27" s="326" t="s">
        <v>820</v>
      </c>
      <c r="AZ27" s="326" t="s">
        <v>821</v>
      </c>
      <c r="BA27" s="299" t="s">
        <v>813</v>
      </c>
      <c r="BC27" s="324">
        <f>AW27+AX27</f>
        <v>0</v>
      </c>
      <c r="BD27" s="324">
        <f>H27/(100-BE27)*100</f>
        <v>0</v>
      </c>
      <c r="BE27" s="324">
        <v>0</v>
      </c>
      <c r="BF27" s="324">
        <f>M27</f>
        <v>8.1351000000000007E-2</v>
      </c>
      <c r="BH27" s="324">
        <f>G27*AO27</f>
        <v>0</v>
      </c>
      <c r="BI27" s="324">
        <f>G27*AP27</f>
        <v>0</v>
      </c>
      <c r="BJ27" s="324">
        <f>G27*H27</f>
        <v>0</v>
      </c>
      <c r="BK27" s="324" t="s">
        <v>814</v>
      </c>
      <c r="BL27" s="324">
        <v>721</v>
      </c>
    </row>
    <row r="28" spans="1:64" x14ac:dyDescent="0.2">
      <c r="A28" s="282"/>
      <c r="D28" s="327" t="s">
        <v>838</v>
      </c>
      <c r="E28" s="327"/>
      <c r="G28" s="328">
        <v>62.1</v>
      </c>
      <c r="H28" s="429"/>
      <c r="N28" s="329"/>
      <c r="O28" s="282"/>
    </row>
    <row r="29" spans="1:64" x14ac:dyDescent="0.2">
      <c r="A29" s="322" t="s">
        <v>839</v>
      </c>
      <c r="B29" s="323" t="s">
        <v>805</v>
      </c>
      <c r="C29" s="323" t="s">
        <v>840</v>
      </c>
      <c r="D29" s="285" t="s">
        <v>841</v>
      </c>
      <c r="E29" s="285"/>
      <c r="F29" s="323" t="s">
        <v>230</v>
      </c>
      <c r="G29" s="324">
        <v>29</v>
      </c>
      <c r="H29" s="428"/>
      <c r="I29" s="324">
        <f>G29*AO29</f>
        <v>0</v>
      </c>
      <c r="J29" s="324">
        <f>G29*AP29</f>
        <v>0</v>
      </c>
      <c r="K29" s="324">
        <f>G29*H29</f>
        <v>0</v>
      </c>
      <c r="L29" s="324">
        <v>0</v>
      </c>
      <c r="M29" s="324">
        <f>G29*L29</f>
        <v>0</v>
      </c>
      <c r="N29" s="325" t="s">
        <v>809</v>
      </c>
      <c r="O29" s="282"/>
      <c r="Z29" s="324">
        <f>IF(AQ29="5",BJ29,0)</f>
        <v>0</v>
      </c>
      <c r="AB29" s="324">
        <f>IF(AQ29="1",BH29,0)</f>
        <v>0</v>
      </c>
      <c r="AC29" s="324">
        <f>IF(AQ29="1",BI29,0)</f>
        <v>0</v>
      </c>
      <c r="AD29" s="324">
        <f>IF(AQ29="7",BH29,0)</f>
        <v>0</v>
      </c>
      <c r="AE29" s="324">
        <f>IF(AQ29="7",BI29,0)</f>
        <v>0</v>
      </c>
      <c r="AF29" s="324">
        <f>IF(AQ29="2",BH29,0)</f>
        <v>0</v>
      </c>
      <c r="AG29" s="324">
        <f>IF(AQ29="2",BI29,0)</f>
        <v>0</v>
      </c>
      <c r="AH29" s="324">
        <f>IF(AQ29="0",BJ29,0)</f>
        <v>0</v>
      </c>
      <c r="AI29" s="299" t="s">
        <v>805</v>
      </c>
      <c r="AJ29" s="324">
        <f>IF(AN29=0,K29,0)</f>
        <v>0</v>
      </c>
      <c r="AK29" s="324">
        <f>IF(AN29=15,K29,0)</f>
        <v>0</v>
      </c>
      <c r="AL29" s="324">
        <f>IF(AN29=21,K29,0)</f>
        <v>0</v>
      </c>
      <c r="AN29" s="324">
        <v>21</v>
      </c>
      <c r="AO29" s="324">
        <f>H29*0</f>
        <v>0</v>
      </c>
      <c r="AP29" s="324">
        <f>H29*(1-0)</f>
        <v>0</v>
      </c>
      <c r="AQ29" s="326" t="s">
        <v>810</v>
      </c>
      <c r="AV29" s="324">
        <f>AW29+AX29</f>
        <v>0</v>
      </c>
      <c r="AW29" s="324">
        <f>G29*AO29</f>
        <v>0</v>
      </c>
      <c r="AX29" s="324">
        <f>G29*AP29</f>
        <v>0</v>
      </c>
      <c r="AY29" s="326" t="s">
        <v>820</v>
      </c>
      <c r="AZ29" s="326" t="s">
        <v>821</v>
      </c>
      <c r="BA29" s="299" t="s">
        <v>813</v>
      </c>
      <c r="BC29" s="324">
        <f>AW29+AX29</f>
        <v>0</v>
      </c>
      <c r="BD29" s="324">
        <f>H29/(100-BE29)*100</f>
        <v>0</v>
      </c>
      <c r="BE29" s="324">
        <v>0</v>
      </c>
      <c r="BF29" s="324">
        <f>M29</f>
        <v>0</v>
      </c>
      <c r="BH29" s="324">
        <f>G29*AO29</f>
        <v>0</v>
      </c>
      <c r="BI29" s="324">
        <f>G29*AP29</f>
        <v>0</v>
      </c>
      <c r="BJ29" s="324">
        <f>G29*H29</f>
        <v>0</v>
      </c>
      <c r="BK29" s="324" t="s">
        <v>814</v>
      </c>
      <c r="BL29" s="324">
        <v>721</v>
      </c>
    </row>
    <row r="30" spans="1:64" x14ac:dyDescent="0.2">
      <c r="A30" s="282"/>
      <c r="D30" s="327" t="s">
        <v>842</v>
      </c>
      <c r="E30" s="327"/>
      <c r="G30" s="328">
        <v>29</v>
      </c>
      <c r="H30" s="429"/>
      <c r="N30" s="329"/>
      <c r="O30" s="282"/>
    </row>
    <row r="31" spans="1:64" x14ac:dyDescent="0.2">
      <c r="A31" s="322" t="s">
        <v>843</v>
      </c>
      <c r="B31" s="323" t="s">
        <v>805</v>
      </c>
      <c r="C31" s="323" t="s">
        <v>844</v>
      </c>
      <c r="D31" s="285" t="s">
        <v>845</v>
      </c>
      <c r="E31" s="285"/>
      <c r="F31" s="323" t="s">
        <v>230</v>
      </c>
      <c r="G31" s="324">
        <v>18</v>
      </c>
      <c r="H31" s="428"/>
      <c r="I31" s="324">
        <f>G31*AO31</f>
        <v>0</v>
      </c>
      <c r="J31" s="324">
        <f>G31*AP31</f>
        <v>0</v>
      </c>
      <c r="K31" s="324">
        <f>G31*H31</f>
        <v>0</v>
      </c>
      <c r="L31" s="324">
        <v>0</v>
      </c>
      <c r="M31" s="324">
        <f>G31*L31</f>
        <v>0</v>
      </c>
      <c r="N31" s="325" t="s">
        <v>809</v>
      </c>
      <c r="O31" s="282"/>
      <c r="Z31" s="324">
        <f>IF(AQ31="5",BJ31,0)</f>
        <v>0</v>
      </c>
      <c r="AB31" s="324">
        <f>IF(AQ31="1",BH31,0)</f>
        <v>0</v>
      </c>
      <c r="AC31" s="324">
        <f>IF(AQ31="1",BI31,0)</f>
        <v>0</v>
      </c>
      <c r="AD31" s="324">
        <f>IF(AQ31="7",BH31,0)</f>
        <v>0</v>
      </c>
      <c r="AE31" s="324">
        <f>IF(AQ31="7",BI31,0)</f>
        <v>0</v>
      </c>
      <c r="AF31" s="324">
        <f>IF(AQ31="2",BH31,0)</f>
        <v>0</v>
      </c>
      <c r="AG31" s="324">
        <f>IF(AQ31="2",BI31,0)</f>
        <v>0</v>
      </c>
      <c r="AH31" s="324">
        <f>IF(AQ31="0",BJ31,0)</f>
        <v>0</v>
      </c>
      <c r="AI31" s="299" t="s">
        <v>805</v>
      </c>
      <c r="AJ31" s="324">
        <f>IF(AN31=0,K31,0)</f>
        <v>0</v>
      </c>
      <c r="AK31" s="324">
        <f>IF(AN31=15,K31,0)</f>
        <v>0</v>
      </c>
      <c r="AL31" s="324">
        <f>IF(AN31=21,K31,0)</f>
        <v>0</v>
      </c>
      <c r="AN31" s="324">
        <v>21</v>
      </c>
      <c r="AO31" s="324">
        <f>H31*0</f>
        <v>0</v>
      </c>
      <c r="AP31" s="324">
        <f>H31*(1-0)</f>
        <v>0</v>
      </c>
      <c r="AQ31" s="326" t="s">
        <v>810</v>
      </c>
      <c r="AV31" s="324">
        <f>AW31+AX31</f>
        <v>0</v>
      </c>
      <c r="AW31" s="324">
        <f>G31*AO31</f>
        <v>0</v>
      </c>
      <c r="AX31" s="324">
        <f>G31*AP31</f>
        <v>0</v>
      </c>
      <c r="AY31" s="326" t="s">
        <v>820</v>
      </c>
      <c r="AZ31" s="326" t="s">
        <v>821</v>
      </c>
      <c r="BA31" s="299" t="s">
        <v>813</v>
      </c>
      <c r="BC31" s="324">
        <f>AW31+AX31</f>
        <v>0</v>
      </c>
      <c r="BD31" s="324">
        <f>H31/(100-BE31)*100</f>
        <v>0</v>
      </c>
      <c r="BE31" s="324">
        <v>0</v>
      </c>
      <c r="BF31" s="324">
        <f>M31</f>
        <v>0</v>
      </c>
      <c r="BH31" s="324">
        <f>G31*AO31</f>
        <v>0</v>
      </c>
      <c r="BI31" s="324">
        <f>G31*AP31</f>
        <v>0</v>
      </c>
      <c r="BJ31" s="324">
        <f>G31*H31</f>
        <v>0</v>
      </c>
      <c r="BK31" s="324" t="s">
        <v>814</v>
      </c>
      <c r="BL31" s="324">
        <v>721</v>
      </c>
    </row>
    <row r="32" spans="1:64" x14ac:dyDescent="0.2">
      <c r="A32" s="282"/>
      <c r="D32" s="327" t="s">
        <v>846</v>
      </c>
      <c r="E32" s="327"/>
      <c r="G32" s="328">
        <v>3</v>
      </c>
      <c r="H32" s="429"/>
      <c r="N32" s="329"/>
      <c r="O32" s="282"/>
    </row>
    <row r="33" spans="1:64" x14ac:dyDescent="0.2">
      <c r="A33" s="282"/>
      <c r="D33" s="327" t="s">
        <v>847</v>
      </c>
      <c r="E33" s="327"/>
      <c r="G33" s="328">
        <v>12</v>
      </c>
      <c r="H33" s="429"/>
      <c r="N33" s="329"/>
      <c r="O33" s="282"/>
    </row>
    <row r="34" spans="1:64" x14ac:dyDescent="0.2">
      <c r="A34" s="282"/>
      <c r="D34" s="327" t="s">
        <v>848</v>
      </c>
      <c r="E34" s="327"/>
      <c r="G34" s="328">
        <v>3</v>
      </c>
      <c r="H34" s="429"/>
      <c r="N34" s="329"/>
      <c r="O34" s="282"/>
    </row>
    <row r="35" spans="1:64" x14ac:dyDescent="0.2">
      <c r="A35" s="322" t="s">
        <v>358</v>
      </c>
      <c r="B35" s="323" t="s">
        <v>805</v>
      </c>
      <c r="C35" s="323" t="s">
        <v>849</v>
      </c>
      <c r="D35" s="285" t="s">
        <v>850</v>
      </c>
      <c r="E35" s="285"/>
      <c r="F35" s="323" t="s">
        <v>230</v>
      </c>
      <c r="G35" s="324">
        <v>24</v>
      </c>
      <c r="H35" s="428"/>
      <c r="I35" s="324">
        <f>G35*AO35</f>
        <v>0</v>
      </c>
      <c r="J35" s="324">
        <f>G35*AP35</f>
        <v>0</v>
      </c>
      <c r="K35" s="324">
        <f>G35*H35</f>
        <v>0</v>
      </c>
      <c r="L35" s="324">
        <v>0</v>
      </c>
      <c r="M35" s="324">
        <f>G35*L35</f>
        <v>0</v>
      </c>
      <c r="N35" s="325" t="s">
        <v>809</v>
      </c>
      <c r="O35" s="282"/>
      <c r="Z35" s="324">
        <f>IF(AQ35="5",BJ35,0)</f>
        <v>0</v>
      </c>
      <c r="AB35" s="324">
        <f>IF(AQ35="1",BH35,0)</f>
        <v>0</v>
      </c>
      <c r="AC35" s="324">
        <f>IF(AQ35="1",BI35,0)</f>
        <v>0</v>
      </c>
      <c r="AD35" s="324">
        <f>IF(AQ35="7",BH35,0)</f>
        <v>0</v>
      </c>
      <c r="AE35" s="324">
        <f>IF(AQ35="7",BI35,0)</f>
        <v>0</v>
      </c>
      <c r="AF35" s="324">
        <f>IF(AQ35="2",BH35,0)</f>
        <v>0</v>
      </c>
      <c r="AG35" s="324">
        <f>IF(AQ35="2",BI35,0)</f>
        <v>0</v>
      </c>
      <c r="AH35" s="324">
        <f>IF(AQ35="0",BJ35,0)</f>
        <v>0</v>
      </c>
      <c r="AI35" s="299" t="s">
        <v>805</v>
      </c>
      <c r="AJ35" s="324">
        <f>IF(AN35=0,K35,0)</f>
        <v>0</v>
      </c>
      <c r="AK35" s="324">
        <f>IF(AN35=15,K35,0)</f>
        <v>0</v>
      </c>
      <c r="AL35" s="324">
        <f>IF(AN35=21,K35,0)</f>
        <v>0</v>
      </c>
      <c r="AN35" s="324">
        <v>21</v>
      </c>
      <c r="AO35" s="324">
        <f>H35*0</f>
        <v>0</v>
      </c>
      <c r="AP35" s="324">
        <f>H35*(1-0)</f>
        <v>0</v>
      </c>
      <c r="AQ35" s="326" t="s">
        <v>810</v>
      </c>
      <c r="AV35" s="324">
        <f>AW35+AX35</f>
        <v>0</v>
      </c>
      <c r="AW35" s="324">
        <f>G35*AO35</f>
        <v>0</v>
      </c>
      <c r="AX35" s="324">
        <f>G35*AP35</f>
        <v>0</v>
      </c>
      <c r="AY35" s="326" t="s">
        <v>820</v>
      </c>
      <c r="AZ35" s="326" t="s">
        <v>821</v>
      </c>
      <c r="BA35" s="299" t="s">
        <v>813</v>
      </c>
      <c r="BC35" s="324">
        <f>AW35+AX35</f>
        <v>0</v>
      </c>
      <c r="BD35" s="324">
        <f>H35/(100-BE35)*100</f>
        <v>0</v>
      </c>
      <c r="BE35" s="324">
        <v>0</v>
      </c>
      <c r="BF35" s="324">
        <f>M35</f>
        <v>0</v>
      </c>
      <c r="BH35" s="324">
        <f>G35*AO35</f>
        <v>0</v>
      </c>
      <c r="BI35" s="324">
        <f>G35*AP35</f>
        <v>0</v>
      </c>
      <c r="BJ35" s="324">
        <f>G35*H35</f>
        <v>0</v>
      </c>
      <c r="BK35" s="324" t="s">
        <v>814</v>
      </c>
      <c r="BL35" s="324">
        <v>721</v>
      </c>
    </row>
    <row r="36" spans="1:64" x14ac:dyDescent="0.2">
      <c r="A36" s="282"/>
      <c r="D36" s="327" t="s">
        <v>851</v>
      </c>
      <c r="E36" s="327"/>
      <c r="G36" s="328">
        <v>21</v>
      </c>
      <c r="H36" s="429"/>
      <c r="N36" s="329"/>
      <c r="O36" s="282"/>
    </row>
    <row r="37" spans="1:64" x14ac:dyDescent="0.2">
      <c r="A37" s="282"/>
      <c r="D37" s="327" t="s">
        <v>852</v>
      </c>
      <c r="E37" s="327"/>
      <c r="G37" s="328">
        <v>3</v>
      </c>
      <c r="H37" s="429"/>
      <c r="N37" s="329"/>
      <c r="O37" s="282"/>
    </row>
    <row r="38" spans="1:64" x14ac:dyDescent="0.2">
      <c r="A38" s="322" t="s">
        <v>853</v>
      </c>
      <c r="B38" s="323" t="s">
        <v>805</v>
      </c>
      <c r="C38" s="323" t="s">
        <v>854</v>
      </c>
      <c r="D38" s="285" t="s">
        <v>855</v>
      </c>
      <c r="E38" s="285"/>
      <c r="F38" s="323" t="s">
        <v>375</v>
      </c>
      <c r="G38" s="324">
        <v>189.4</v>
      </c>
      <c r="H38" s="428"/>
      <c r="I38" s="324">
        <f>G38*AO38</f>
        <v>0</v>
      </c>
      <c r="J38" s="324">
        <f>G38*AP38</f>
        <v>0</v>
      </c>
      <c r="K38" s="324">
        <f>G38*H38</f>
        <v>0</v>
      </c>
      <c r="L38" s="324">
        <v>0</v>
      </c>
      <c r="M38" s="324">
        <f>G38*L38</f>
        <v>0</v>
      </c>
      <c r="N38" s="325" t="s">
        <v>809</v>
      </c>
      <c r="O38" s="282"/>
      <c r="Z38" s="324">
        <f>IF(AQ38="5",BJ38,0)</f>
        <v>0</v>
      </c>
      <c r="AB38" s="324">
        <f>IF(AQ38="1",BH38,0)</f>
        <v>0</v>
      </c>
      <c r="AC38" s="324">
        <f>IF(AQ38="1",BI38,0)</f>
        <v>0</v>
      </c>
      <c r="AD38" s="324">
        <f>IF(AQ38="7",BH38,0)</f>
        <v>0</v>
      </c>
      <c r="AE38" s="324">
        <f>IF(AQ38="7",BI38,0)</f>
        <v>0</v>
      </c>
      <c r="AF38" s="324">
        <f>IF(AQ38="2",BH38,0)</f>
        <v>0</v>
      </c>
      <c r="AG38" s="324">
        <f>IF(AQ38="2",BI38,0)</f>
        <v>0</v>
      </c>
      <c r="AH38" s="324">
        <f>IF(AQ38="0",BJ38,0)</f>
        <v>0</v>
      </c>
      <c r="AI38" s="299" t="s">
        <v>805</v>
      </c>
      <c r="AJ38" s="324">
        <f>IF(AN38=0,K38,0)</f>
        <v>0</v>
      </c>
      <c r="AK38" s="324">
        <f>IF(AN38=15,K38,0)</f>
        <v>0</v>
      </c>
      <c r="AL38" s="324">
        <f>IF(AN38=21,K38,0)</f>
        <v>0</v>
      </c>
      <c r="AN38" s="324">
        <v>21</v>
      </c>
      <c r="AO38" s="324">
        <f>H38*0.0801801801801802</f>
        <v>0</v>
      </c>
      <c r="AP38" s="324">
        <f>H38*(1-0.0801801801801802)</f>
        <v>0</v>
      </c>
      <c r="AQ38" s="326" t="s">
        <v>810</v>
      </c>
      <c r="AV38" s="324">
        <f>AW38+AX38</f>
        <v>0</v>
      </c>
      <c r="AW38" s="324">
        <f>G38*AO38</f>
        <v>0</v>
      </c>
      <c r="AX38" s="324">
        <f>G38*AP38</f>
        <v>0</v>
      </c>
      <c r="AY38" s="326" t="s">
        <v>820</v>
      </c>
      <c r="AZ38" s="326" t="s">
        <v>821</v>
      </c>
      <c r="BA38" s="299" t="s">
        <v>813</v>
      </c>
      <c r="BC38" s="324">
        <f>AW38+AX38</f>
        <v>0</v>
      </c>
      <c r="BD38" s="324">
        <f>H38/(100-BE38)*100</f>
        <v>0</v>
      </c>
      <c r="BE38" s="324">
        <v>0</v>
      </c>
      <c r="BF38" s="324">
        <f>M38</f>
        <v>0</v>
      </c>
      <c r="BH38" s="324">
        <f>G38*AO38</f>
        <v>0</v>
      </c>
      <c r="BI38" s="324">
        <f>G38*AP38</f>
        <v>0</v>
      </c>
      <c r="BJ38" s="324">
        <f>G38*H38</f>
        <v>0</v>
      </c>
      <c r="BK38" s="324" t="s">
        <v>814</v>
      </c>
      <c r="BL38" s="324">
        <v>721</v>
      </c>
    </row>
    <row r="39" spans="1:64" x14ac:dyDescent="0.2">
      <c r="A39" s="282"/>
      <c r="D39" s="327" t="s">
        <v>856</v>
      </c>
      <c r="E39" s="327"/>
      <c r="G39" s="328">
        <v>189.4</v>
      </c>
      <c r="H39" s="429"/>
      <c r="N39" s="329"/>
      <c r="O39" s="282"/>
    </row>
    <row r="40" spans="1:64" x14ac:dyDescent="0.2">
      <c r="A40" s="322" t="s">
        <v>857</v>
      </c>
      <c r="B40" s="323" t="s">
        <v>805</v>
      </c>
      <c r="C40" s="323" t="s">
        <v>858</v>
      </c>
      <c r="D40" s="285" t="s">
        <v>859</v>
      </c>
      <c r="E40" s="285"/>
      <c r="F40" s="323" t="s">
        <v>230</v>
      </c>
      <c r="G40" s="324">
        <v>4</v>
      </c>
      <c r="H40" s="428"/>
      <c r="I40" s="324">
        <f>G40*AO40</f>
        <v>0</v>
      </c>
      <c r="J40" s="324">
        <f>G40*AP40</f>
        <v>0</v>
      </c>
      <c r="K40" s="324">
        <f>G40*H40</f>
        <v>0</v>
      </c>
      <c r="L40" s="324">
        <v>9.0000000000000006E-5</v>
      </c>
      <c r="M40" s="324">
        <f>G40*L40</f>
        <v>3.6000000000000002E-4</v>
      </c>
      <c r="N40" s="325" t="s">
        <v>809</v>
      </c>
      <c r="O40" s="282"/>
      <c r="Z40" s="324">
        <f>IF(AQ40="5",BJ40,0)</f>
        <v>0</v>
      </c>
      <c r="AB40" s="324">
        <f>IF(AQ40="1",BH40,0)</f>
        <v>0</v>
      </c>
      <c r="AC40" s="324">
        <f>IF(AQ40="1",BI40,0)</f>
        <v>0</v>
      </c>
      <c r="AD40" s="324">
        <f>IF(AQ40="7",BH40,0)</f>
        <v>0</v>
      </c>
      <c r="AE40" s="324">
        <f>IF(AQ40="7",BI40,0)</f>
        <v>0</v>
      </c>
      <c r="AF40" s="324">
        <f>IF(AQ40="2",BH40,0)</f>
        <v>0</v>
      </c>
      <c r="AG40" s="324">
        <f>IF(AQ40="2",BI40,0)</f>
        <v>0</v>
      </c>
      <c r="AH40" s="324">
        <f>IF(AQ40="0",BJ40,0)</f>
        <v>0</v>
      </c>
      <c r="AI40" s="299" t="s">
        <v>805</v>
      </c>
      <c r="AJ40" s="324">
        <f>IF(AN40=0,K40,0)</f>
        <v>0</v>
      </c>
      <c r="AK40" s="324">
        <f>IF(AN40=15,K40,0)</f>
        <v>0</v>
      </c>
      <c r="AL40" s="324">
        <f>IF(AN40=21,K40,0)</f>
        <v>0</v>
      </c>
      <c r="AN40" s="324">
        <v>21</v>
      </c>
      <c r="AO40" s="324">
        <f>H40*0.62451519536903</f>
        <v>0</v>
      </c>
      <c r="AP40" s="324">
        <f>H40*(1-0.62451519536903)</f>
        <v>0</v>
      </c>
      <c r="AQ40" s="326" t="s">
        <v>810</v>
      </c>
      <c r="AV40" s="324">
        <f>AW40+AX40</f>
        <v>0</v>
      </c>
      <c r="AW40" s="324">
        <f>G40*AO40</f>
        <v>0</v>
      </c>
      <c r="AX40" s="324">
        <f>G40*AP40</f>
        <v>0</v>
      </c>
      <c r="AY40" s="326" t="s">
        <v>820</v>
      </c>
      <c r="AZ40" s="326" t="s">
        <v>821</v>
      </c>
      <c r="BA40" s="299" t="s">
        <v>813</v>
      </c>
      <c r="BC40" s="324">
        <f>AW40+AX40</f>
        <v>0</v>
      </c>
      <c r="BD40" s="324">
        <f>H40/(100-BE40)*100</f>
        <v>0</v>
      </c>
      <c r="BE40" s="324">
        <v>0</v>
      </c>
      <c r="BF40" s="324">
        <f>M40</f>
        <v>3.6000000000000002E-4</v>
      </c>
      <c r="BH40" s="324">
        <f>G40*AO40</f>
        <v>0</v>
      </c>
      <c r="BI40" s="324">
        <f>G40*AP40</f>
        <v>0</v>
      </c>
      <c r="BJ40" s="324">
        <f>G40*H40</f>
        <v>0</v>
      </c>
      <c r="BK40" s="324" t="s">
        <v>814</v>
      </c>
      <c r="BL40" s="324">
        <v>721</v>
      </c>
    </row>
    <row r="41" spans="1:64" x14ac:dyDescent="0.2">
      <c r="A41" s="282"/>
      <c r="D41" s="327" t="s">
        <v>65</v>
      </c>
      <c r="E41" s="327"/>
      <c r="G41" s="328">
        <v>4</v>
      </c>
      <c r="H41" s="429"/>
      <c r="N41" s="329"/>
      <c r="O41" s="282"/>
    </row>
    <row r="42" spans="1:64" x14ac:dyDescent="0.2">
      <c r="A42" s="322" t="s">
        <v>860</v>
      </c>
      <c r="B42" s="323" t="s">
        <v>805</v>
      </c>
      <c r="C42" s="323" t="s">
        <v>861</v>
      </c>
      <c r="D42" s="285" t="s">
        <v>862</v>
      </c>
      <c r="E42" s="285"/>
      <c r="F42" s="323" t="s">
        <v>230</v>
      </c>
      <c r="G42" s="324">
        <v>5</v>
      </c>
      <c r="H42" s="428"/>
      <c r="I42" s="324">
        <f>G42*AO42</f>
        <v>0</v>
      </c>
      <c r="J42" s="324">
        <f>G42*AP42</f>
        <v>0</v>
      </c>
      <c r="K42" s="324">
        <f>G42*H42</f>
        <v>0</v>
      </c>
      <c r="L42" s="324">
        <v>2.4000000000000001E-4</v>
      </c>
      <c r="M42" s="324">
        <f>G42*L42</f>
        <v>1.2000000000000001E-3</v>
      </c>
      <c r="N42" s="325" t="s">
        <v>809</v>
      </c>
      <c r="O42" s="282"/>
      <c r="Z42" s="324">
        <f>IF(AQ42="5",BJ42,0)</f>
        <v>0</v>
      </c>
      <c r="AB42" s="324">
        <f>IF(AQ42="1",BH42,0)</f>
        <v>0</v>
      </c>
      <c r="AC42" s="324">
        <f>IF(AQ42="1",BI42,0)</f>
        <v>0</v>
      </c>
      <c r="AD42" s="324">
        <f>IF(AQ42="7",BH42,0)</f>
        <v>0</v>
      </c>
      <c r="AE42" s="324">
        <f>IF(AQ42="7",BI42,0)</f>
        <v>0</v>
      </c>
      <c r="AF42" s="324">
        <f>IF(AQ42="2",BH42,0)</f>
        <v>0</v>
      </c>
      <c r="AG42" s="324">
        <f>IF(AQ42="2",BI42,0)</f>
        <v>0</v>
      </c>
      <c r="AH42" s="324">
        <f>IF(AQ42="0",BJ42,0)</f>
        <v>0</v>
      </c>
      <c r="AI42" s="299" t="s">
        <v>805</v>
      </c>
      <c r="AJ42" s="324">
        <f>IF(AN42=0,K42,0)</f>
        <v>0</v>
      </c>
      <c r="AK42" s="324">
        <f>IF(AN42=15,K42,0)</f>
        <v>0</v>
      </c>
      <c r="AL42" s="324">
        <f>IF(AN42=21,K42,0)</f>
        <v>0</v>
      </c>
      <c r="AN42" s="324">
        <v>21</v>
      </c>
      <c r="AO42" s="324">
        <f>H42*0.62093625498008</f>
        <v>0</v>
      </c>
      <c r="AP42" s="324">
        <f>H42*(1-0.62093625498008)</f>
        <v>0</v>
      </c>
      <c r="AQ42" s="326" t="s">
        <v>810</v>
      </c>
      <c r="AV42" s="324">
        <f>AW42+AX42</f>
        <v>0</v>
      </c>
      <c r="AW42" s="324">
        <f>G42*AO42</f>
        <v>0</v>
      </c>
      <c r="AX42" s="324">
        <f>G42*AP42</f>
        <v>0</v>
      </c>
      <c r="AY42" s="326" t="s">
        <v>820</v>
      </c>
      <c r="AZ42" s="326" t="s">
        <v>821</v>
      </c>
      <c r="BA42" s="299" t="s">
        <v>813</v>
      </c>
      <c r="BC42" s="324">
        <f>AW42+AX42</f>
        <v>0</v>
      </c>
      <c r="BD42" s="324">
        <f>H42/(100-BE42)*100</f>
        <v>0</v>
      </c>
      <c r="BE42" s="324">
        <v>0</v>
      </c>
      <c r="BF42" s="324">
        <f>M42</f>
        <v>1.2000000000000001E-3</v>
      </c>
      <c r="BH42" s="324">
        <f>G42*AO42</f>
        <v>0</v>
      </c>
      <c r="BI42" s="324">
        <f>G42*AP42</f>
        <v>0</v>
      </c>
      <c r="BJ42" s="324">
        <f>G42*H42</f>
        <v>0</v>
      </c>
      <c r="BK42" s="324" t="s">
        <v>814</v>
      </c>
      <c r="BL42" s="324">
        <v>721</v>
      </c>
    </row>
    <row r="43" spans="1:64" x14ac:dyDescent="0.2">
      <c r="A43" s="282"/>
      <c r="D43" s="327" t="s">
        <v>829</v>
      </c>
      <c r="E43" s="327"/>
      <c r="G43" s="328">
        <v>5</v>
      </c>
      <c r="H43" s="429"/>
      <c r="N43" s="329"/>
      <c r="O43" s="282"/>
    </row>
    <row r="44" spans="1:64" x14ac:dyDescent="0.2">
      <c r="A44" s="322" t="s">
        <v>863</v>
      </c>
      <c r="B44" s="323" t="s">
        <v>805</v>
      </c>
      <c r="C44" s="323" t="s">
        <v>864</v>
      </c>
      <c r="D44" s="285" t="s">
        <v>865</v>
      </c>
      <c r="E44" s="285"/>
      <c r="F44" s="323" t="s">
        <v>375</v>
      </c>
      <c r="G44" s="324">
        <v>203.2</v>
      </c>
      <c r="H44" s="428"/>
      <c r="I44" s="324">
        <f>G44*AO44</f>
        <v>0</v>
      </c>
      <c r="J44" s="324">
        <f>G44*AP44</f>
        <v>0</v>
      </c>
      <c r="K44" s="324">
        <f>G44*H44</f>
        <v>0</v>
      </c>
      <c r="L44" s="324">
        <v>1.4919999999999999E-2</v>
      </c>
      <c r="M44" s="324">
        <f>G44*L44</f>
        <v>3.0317439999999998</v>
      </c>
      <c r="N44" s="325" t="s">
        <v>809</v>
      </c>
      <c r="O44" s="282"/>
      <c r="Z44" s="324">
        <f>IF(AQ44="5",BJ44,0)</f>
        <v>0</v>
      </c>
      <c r="AB44" s="324">
        <f>IF(AQ44="1",BH44,0)</f>
        <v>0</v>
      </c>
      <c r="AC44" s="324">
        <f>IF(AQ44="1",BI44,0)</f>
        <v>0</v>
      </c>
      <c r="AD44" s="324">
        <f>IF(AQ44="7",BH44,0)</f>
        <v>0</v>
      </c>
      <c r="AE44" s="324">
        <f>IF(AQ44="7",BI44,0)</f>
        <v>0</v>
      </c>
      <c r="AF44" s="324">
        <f>IF(AQ44="2",BH44,0)</f>
        <v>0</v>
      </c>
      <c r="AG44" s="324">
        <f>IF(AQ44="2",BI44,0)</f>
        <v>0</v>
      </c>
      <c r="AH44" s="324">
        <f>IF(AQ44="0",BJ44,0)</f>
        <v>0</v>
      </c>
      <c r="AI44" s="299" t="s">
        <v>805</v>
      </c>
      <c r="AJ44" s="324">
        <f>IF(AN44=0,K44,0)</f>
        <v>0</v>
      </c>
      <c r="AK44" s="324">
        <f>IF(AN44=15,K44,0)</f>
        <v>0</v>
      </c>
      <c r="AL44" s="324">
        <f>IF(AN44=21,K44,0)</f>
        <v>0</v>
      </c>
      <c r="AN44" s="324">
        <v>21</v>
      </c>
      <c r="AO44" s="324">
        <f>H44*0</f>
        <v>0</v>
      </c>
      <c r="AP44" s="324">
        <f>H44*(1-0)</f>
        <v>0</v>
      </c>
      <c r="AQ44" s="326" t="s">
        <v>810</v>
      </c>
      <c r="AV44" s="324">
        <f>AW44+AX44</f>
        <v>0</v>
      </c>
      <c r="AW44" s="324">
        <f>G44*AO44</f>
        <v>0</v>
      </c>
      <c r="AX44" s="324">
        <f>G44*AP44</f>
        <v>0</v>
      </c>
      <c r="AY44" s="326" t="s">
        <v>820</v>
      </c>
      <c r="AZ44" s="326" t="s">
        <v>821</v>
      </c>
      <c r="BA44" s="299" t="s">
        <v>813</v>
      </c>
      <c r="BC44" s="324">
        <f>AW44+AX44</f>
        <v>0</v>
      </c>
      <c r="BD44" s="324">
        <f>H44/(100-BE44)*100</f>
        <v>0</v>
      </c>
      <c r="BE44" s="324">
        <v>0</v>
      </c>
      <c r="BF44" s="324">
        <f>M44</f>
        <v>3.0317439999999998</v>
      </c>
      <c r="BH44" s="324">
        <f>G44*AO44</f>
        <v>0</v>
      </c>
      <c r="BI44" s="324">
        <f>G44*AP44</f>
        <v>0</v>
      </c>
      <c r="BJ44" s="324">
        <f>G44*H44</f>
        <v>0</v>
      </c>
      <c r="BK44" s="324" t="s">
        <v>814</v>
      </c>
      <c r="BL44" s="324">
        <v>721</v>
      </c>
    </row>
    <row r="45" spans="1:64" x14ac:dyDescent="0.2">
      <c r="A45" s="282"/>
      <c r="D45" s="327" t="s">
        <v>866</v>
      </c>
      <c r="E45" s="327"/>
      <c r="G45" s="328">
        <v>203.2</v>
      </c>
      <c r="H45" s="429"/>
      <c r="N45" s="329"/>
      <c r="O45" s="282"/>
    </row>
    <row r="46" spans="1:64" x14ac:dyDescent="0.2">
      <c r="A46" s="322" t="s">
        <v>867</v>
      </c>
      <c r="B46" s="323" t="s">
        <v>805</v>
      </c>
      <c r="C46" s="323" t="s">
        <v>868</v>
      </c>
      <c r="D46" s="285" t="s">
        <v>869</v>
      </c>
      <c r="E46" s="285"/>
      <c r="F46" s="323" t="s">
        <v>230</v>
      </c>
      <c r="G46" s="324">
        <v>16</v>
      </c>
      <c r="H46" s="428"/>
      <c r="I46" s="324">
        <f>G46*AO46</f>
        <v>0</v>
      </c>
      <c r="J46" s="324">
        <f>G46*AP46</f>
        <v>0</v>
      </c>
      <c r="K46" s="324">
        <f>G46*H46</f>
        <v>0</v>
      </c>
      <c r="L46" s="324">
        <v>3.8000000000000002E-4</v>
      </c>
      <c r="M46" s="324">
        <f>G46*L46</f>
        <v>6.0800000000000003E-3</v>
      </c>
      <c r="N46" s="325" t="s">
        <v>809</v>
      </c>
      <c r="O46" s="282"/>
      <c r="Z46" s="324">
        <f>IF(AQ46="5",BJ46,0)</f>
        <v>0</v>
      </c>
      <c r="AB46" s="324">
        <f>IF(AQ46="1",BH46,0)</f>
        <v>0</v>
      </c>
      <c r="AC46" s="324">
        <f>IF(AQ46="1",BI46,0)</f>
        <v>0</v>
      </c>
      <c r="AD46" s="324">
        <f>IF(AQ46="7",BH46,0)</f>
        <v>0</v>
      </c>
      <c r="AE46" s="324">
        <f>IF(AQ46="7",BI46,0)</f>
        <v>0</v>
      </c>
      <c r="AF46" s="324">
        <f>IF(AQ46="2",BH46,0)</f>
        <v>0</v>
      </c>
      <c r="AG46" s="324">
        <f>IF(AQ46="2",BI46,0)</f>
        <v>0</v>
      </c>
      <c r="AH46" s="324">
        <f>IF(AQ46="0",BJ46,0)</f>
        <v>0</v>
      </c>
      <c r="AI46" s="299" t="s">
        <v>805</v>
      </c>
      <c r="AJ46" s="324">
        <f>IF(AN46=0,K46,0)</f>
        <v>0</v>
      </c>
      <c r="AK46" s="324">
        <f>IF(AN46=15,K46,0)</f>
        <v>0</v>
      </c>
      <c r="AL46" s="324">
        <f>IF(AN46=21,K46,0)</f>
        <v>0</v>
      </c>
      <c r="AN46" s="324">
        <v>21</v>
      </c>
      <c r="AO46" s="324">
        <f>H46*0.810294117647059</f>
        <v>0</v>
      </c>
      <c r="AP46" s="324">
        <f>H46*(1-0.810294117647059)</f>
        <v>0</v>
      </c>
      <c r="AQ46" s="326" t="s">
        <v>810</v>
      </c>
      <c r="AV46" s="324">
        <f>AW46+AX46</f>
        <v>0</v>
      </c>
      <c r="AW46" s="324">
        <f>G46*AO46</f>
        <v>0</v>
      </c>
      <c r="AX46" s="324">
        <f>G46*AP46</f>
        <v>0</v>
      </c>
      <c r="AY46" s="326" t="s">
        <v>820</v>
      </c>
      <c r="AZ46" s="326" t="s">
        <v>821</v>
      </c>
      <c r="BA46" s="299" t="s">
        <v>813</v>
      </c>
      <c r="BC46" s="324">
        <f>AW46+AX46</f>
        <v>0</v>
      </c>
      <c r="BD46" s="324">
        <f>H46/(100-BE46)*100</f>
        <v>0</v>
      </c>
      <c r="BE46" s="324">
        <v>0</v>
      </c>
      <c r="BF46" s="324">
        <f>M46</f>
        <v>6.0800000000000003E-3</v>
      </c>
      <c r="BH46" s="324">
        <f>G46*AO46</f>
        <v>0</v>
      </c>
      <c r="BI46" s="324">
        <f>G46*AP46</f>
        <v>0</v>
      </c>
      <c r="BJ46" s="324">
        <f>G46*H46</f>
        <v>0</v>
      </c>
      <c r="BK46" s="324" t="s">
        <v>814</v>
      </c>
      <c r="BL46" s="324">
        <v>721</v>
      </c>
    </row>
    <row r="47" spans="1:64" x14ac:dyDescent="0.2">
      <c r="A47" s="282"/>
      <c r="D47" s="327" t="s">
        <v>870</v>
      </c>
      <c r="E47" s="327"/>
      <c r="G47" s="328">
        <v>16</v>
      </c>
      <c r="H47" s="429"/>
      <c r="N47" s="329"/>
      <c r="O47" s="282"/>
    </row>
    <row r="48" spans="1:64" x14ac:dyDescent="0.2">
      <c r="A48" s="322" t="s">
        <v>871</v>
      </c>
      <c r="B48" s="323" t="s">
        <v>805</v>
      </c>
      <c r="C48" s="323" t="s">
        <v>872</v>
      </c>
      <c r="D48" s="285" t="s">
        <v>873</v>
      </c>
      <c r="E48" s="285"/>
      <c r="F48" s="323" t="s">
        <v>155</v>
      </c>
      <c r="G48" s="324">
        <v>3.22</v>
      </c>
      <c r="H48" s="428"/>
      <c r="I48" s="324">
        <f>G48*AO48</f>
        <v>0</v>
      </c>
      <c r="J48" s="324">
        <f>G48*AP48</f>
        <v>0</v>
      </c>
      <c r="K48" s="324">
        <f>G48*H48</f>
        <v>0</v>
      </c>
      <c r="L48" s="324">
        <v>0</v>
      </c>
      <c r="M48" s="324">
        <f>G48*L48</f>
        <v>0</v>
      </c>
      <c r="N48" s="325" t="s">
        <v>809</v>
      </c>
      <c r="O48" s="282"/>
      <c r="Z48" s="324">
        <f>IF(AQ48="5",BJ48,0)</f>
        <v>0</v>
      </c>
      <c r="AB48" s="324">
        <f>IF(AQ48="1",BH48,0)</f>
        <v>0</v>
      </c>
      <c r="AC48" s="324">
        <f>IF(AQ48="1",BI48,0)</f>
        <v>0</v>
      </c>
      <c r="AD48" s="324">
        <f>IF(AQ48="7",BH48,0)</f>
        <v>0</v>
      </c>
      <c r="AE48" s="324">
        <f>IF(AQ48="7",BI48,0)</f>
        <v>0</v>
      </c>
      <c r="AF48" s="324">
        <f>IF(AQ48="2",BH48,0)</f>
        <v>0</v>
      </c>
      <c r="AG48" s="324">
        <f>IF(AQ48="2",BI48,0)</f>
        <v>0</v>
      </c>
      <c r="AH48" s="324">
        <f>IF(AQ48="0",BJ48,0)</f>
        <v>0</v>
      </c>
      <c r="AI48" s="299" t="s">
        <v>805</v>
      </c>
      <c r="AJ48" s="324">
        <f>IF(AN48=0,K48,0)</f>
        <v>0</v>
      </c>
      <c r="AK48" s="324">
        <f>IF(AN48=15,K48,0)</f>
        <v>0</v>
      </c>
      <c r="AL48" s="324">
        <f>IF(AN48=21,K48,0)</f>
        <v>0</v>
      </c>
      <c r="AN48" s="324">
        <v>21</v>
      </c>
      <c r="AO48" s="324">
        <f>H48*0</f>
        <v>0</v>
      </c>
      <c r="AP48" s="324">
        <f>H48*(1-0)</f>
        <v>0</v>
      </c>
      <c r="AQ48" s="326" t="s">
        <v>829</v>
      </c>
      <c r="AV48" s="324">
        <f>AW48+AX48</f>
        <v>0</v>
      </c>
      <c r="AW48" s="324">
        <f>G48*AO48</f>
        <v>0</v>
      </c>
      <c r="AX48" s="324">
        <f>G48*AP48</f>
        <v>0</v>
      </c>
      <c r="AY48" s="326" t="s">
        <v>820</v>
      </c>
      <c r="AZ48" s="326" t="s">
        <v>821</v>
      </c>
      <c r="BA48" s="299" t="s">
        <v>813</v>
      </c>
      <c r="BC48" s="324">
        <f>AW48+AX48</f>
        <v>0</v>
      </c>
      <c r="BD48" s="324">
        <f>H48/(100-BE48)*100</f>
        <v>0</v>
      </c>
      <c r="BE48" s="324">
        <v>0</v>
      </c>
      <c r="BF48" s="324">
        <f>M48</f>
        <v>0</v>
      </c>
      <c r="BH48" s="324">
        <f>G48*AO48</f>
        <v>0</v>
      </c>
      <c r="BI48" s="324">
        <f>G48*AP48</f>
        <v>0</v>
      </c>
      <c r="BJ48" s="324">
        <f>G48*H48</f>
        <v>0</v>
      </c>
      <c r="BK48" s="324" t="s">
        <v>814</v>
      </c>
      <c r="BL48" s="324">
        <v>721</v>
      </c>
    </row>
    <row r="49" spans="1:64" x14ac:dyDescent="0.2">
      <c r="A49" s="316"/>
      <c r="B49" s="317" t="s">
        <v>805</v>
      </c>
      <c r="C49" s="317" t="s">
        <v>874</v>
      </c>
      <c r="D49" s="318" t="s">
        <v>875</v>
      </c>
      <c r="E49" s="318"/>
      <c r="F49" s="319" t="s">
        <v>771</v>
      </c>
      <c r="G49" s="319" t="s">
        <v>771</v>
      </c>
      <c r="H49" s="430"/>
      <c r="I49" s="320">
        <f>SUM(I50:I127)</f>
        <v>0</v>
      </c>
      <c r="J49" s="320">
        <f>SUM(J50:J127)</f>
        <v>0</v>
      </c>
      <c r="K49" s="320">
        <f>SUM(K50:K127)</f>
        <v>0</v>
      </c>
      <c r="L49" s="299"/>
      <c r="M49" s="320">
        <f>SUM(M50:M127)</f>
        <v>1.5895281999999997</v>
      </c>
      <c r="N49" s="321"/>
      <c r="O49" s="282"/>
      <c r="AI49" s="299" t="s">
        <v>805</v>
      </c>
      <c r="AS49" s="320">
        <f>SUM(AJ50:AJ127)</f>
        <v>0</v>
      </c>
      <c r="AT49" s="320">
        <f>SUM(AK50:AK127)</f>
        <v>0</v>
      </c>
      <c r="AU49" s="320">
        <f>SUM(AL50:AL127)</f>
        <v>0</v>
      </c>
    </row>
    <row r="50" spans="1:64" x14ac:dyDescent="0.2">
      <c r="A50" s="322" t="s">
        <v>876</v>
      </c>
      <c r="B50" s="323" t="s">
        <v>805</v>
      </c>
      <c r="C50" s="323" t="s">
        <v>877</v>
      </c>
      <c r="D50" s="285" t="s">
        <v>878</v>
      </c>
      <c r="E50" s="285"/>
      <c r="F50" s="323" t="s">
        <v>230</v>
      </c>
      <c r="G50" s="324">
        <v>108</v>
      </c>
      <c r="H50" s="428"/>
      <c r="I50" s="324">
        <f>G50*AO50</f>
        <v>0</v>
      </c>
      <c r="J50" s="324">
        <f>G50*AP50</f>
        <v>0</v>
      </c>
      <c r="K50" s="324">
        <f>G50*H50</f>
        <v>0</v>
      </c>
      <c r="L50" s="324">
        <v>0</v>
      </c>
      <c r="M50" s="324">
        <f>G50*L50</f>
        <v>0</v>
      </c>
      <c r="N50" s="325" t="s">
        <v>809</v>
      </c>
      <c r="O50" s="282"/>
      <c r="Z50" s="324">
        <f>IF(AQ50="5",BJ50,0)</f>
        <v>0</v>
      </c>
      <c r="AB50" s="324">
        <f>IF(AQ50="1",BH50,0)</f>
        <v>0</v>
      </c>
      <c r="AC50" s="324">
        <f>IF(AQ50="1",BI50,0)</f>
        <v>0</v>
      </c>
      <c r="AD50" s="324">
        <f>IF(AQ50="7",BH50,0)</f>
        <v>0</v>
      </c>
      <c r="AE50" s="324">
        <f>IF(AQ50="7",BI50,0)</f>
        <v>0</v>
      </c>
      <c r="AF50" s="324">
        <f>IF(AQ50="2",BH50,0)</f>
        <v>0</v>
      </c>
      <c r="AG50" s="324">
        <f>IF(AQ50="2",BI50,0)</f>
        <v>0</v>
      </c>
      <c r="AH50" s="324">
        <f>IF(AQ50="0",BJ50,0)</f>
        <v>0</v>
      </c>
      <c r="AI50" s="299" t="s">
        <v>805</v>
      </c>
      <c r="AJ50" s="324">
        <f>IF(AN50=0,K50,0)</f>
        <v>0</v>
      </c>
      <c r="AK50" s="324">
        <f>IF(AN50=15,K50,0)</f>
        <v>0</v>
      </c>
      <c r="AL50" s="324">
        <f>IF(AN50=21,K50,0)</f>
        <v>0</v>
      </c>
      <c r="AN50" s="324">
        <v>21</v>
      </c>
      <c r="AO50" s="324">
        <f>H50*0</f>
        <v>0</v>
      </c>
      <c r="AP50" s="324">
        <f>H50*(1-0)</f>
        <v>0</v>
      </c>
      <c r="AQ50" s="326" t="s">
        <v>810</v>
      </c>
      <c r="AV50" s="324">
        <f>AW50+AX50</f>
        <v>0</v>
      </c>
      <c r="AW50" s="324">
        <f>G50*AO50</f>
        <v>0</v>
      </c>
      <c r="AX50" s="324">
        <f>G50*AP50</f>
        <v>0</v>
      </c>
      <c r="AY50" s="326" t="s">
        <v>879</v>
      </c>
      <c r="AZ50" s="326" t="s">
        <v>821</v>
      </c>
      <c r="BA50" s="299" t="s">
        <v>813</v>
      </c>
      <c r="BC50" s="324">
        <f>AW50+AX50</f>
        <v>0</v>
      </c>
      <c r="BD50" s="324">
        <f>H50/(100-BE50)*100</f>
        <v>0</v>
      </c>
      <c r="BE50" s="324">
        <v>0</v>
      </c>
      <c r="BF50" s="324">
        <f>M50</f>
        <v>0</v>
      </c>
      <c r="BH50" s="324">
        <f>G50*AO50</f>
        <v>0</v>
      </c>
      <c r="BI50" s="324">
        <f>G50*AP50</f>
        <v>0</v>
      </c>
      <c r="BJ50" s="324">
        <f>G50*H50</f>
        <v>0</v>
      </c>
      <c r="BK50" s="324" t="s">
        <v>814</v>
      </c>
      <c r="BL50" s="324">
        <v>722</v>
      </c>
    </row>
    <row r="51" spans="1:64" x14ac:dyDescent="0.2">
      <c r="A51" s="282"/>
      <c r="D51" s="327" t="s">
        <v>880</v>
      </c>
      <c r="E51" s="327"/>
      <c r="G51" s="328">
        <v>2</v>
      </c>
      <c r="H51" s="429"/>
      <c r="N51" s="329"/>
      <c r="O51" s="282"/>
    </row>
    <row r="52" spans="1:64" x14ac:dyDescent="0.2">
      <c r="A52" s="282"/>
      <c r="D52" s="327" t="s">
        <v>881</v>
      </c>
      <c r="E52" s="327"/>
      <c r="G52" s="328">
        <v>58</v>
      </c>
      <c r="H52" s="429"/>
      <c r="N52" s="329"/>
      <c r="O52" s="282"/>
    </row>
    <row r="53" spans="1:64" x14ac:dyDescent="0.2">
      <c r="A53" s="282"/>
      <c r="D53" s="327" t="s">
        <v>882</v>
      </c>
      <c r="E53" s="327"/>
      <c r="G53" s="328">
        <v>21</v>
      </c>
      <c r="H53" s="429"/>
      <c r="N53" s="329"/>
      <c r="O53" s="282"/>
    </row>
    <row r="54" spans="1:64" x14ac:dyDescent="0.2">
      <c r="A54" s="282"/>
      <c r="D54" s="327" t="s">
        <v>883</v>
      </c>
      <c r="E54" s="327"/>
      <c r="G54" s="328">
        <v>9</v>
      </c>
      <c r="H54" s="429"/>
      <c r="N54" s="329"/>
      <c r="O54" s="282"/>
    </row>
    <row r="55" spans="1:64" x14ac:dyDescent="0.2">
      <c r="A55" s="282"/>
      <c r="D55" s="327" t="s">
        <v>884</v>
      </c>
      <c r="E55" s="327"/>
      <c r="G55" s="328">
        <v>6</v>
      </c>
      <c r="H55" s="429"/>
      <c r="N55" s="329"/>
      <c r="O55" s="282"/>
    </row>
    <row r="56" spans="1:64" x14ac:dyDescent="0.2">
      <c r="A56" s="282"/>
      <c r="D56" s="327" t="s">
        <v>885</v>
      </c>
      <c r="E56" s="327"/>
      <c r="G56" s="328">
        <v>12</v>
      </c>
      <c r="H56" s="429"/>
      <c r="N56" s="329"/>
      <c r="O56" s="282"/>
    </row>
    <row r="57" spans="1:64" x14ac:dyDescent="0.2">
      <c r="A57" s="322" t="s">
        <v>886</v>
      </c>
      <c r="B57" s="323" t="s">
        <v>805</v>
      </c>
      <c r="C57" s="323" t="s">
        <v>887</v>
      </c>
      <c r="D57" s="285" t="s">
        <v>888</v>
      </c>
      <c r="E57" s="285"/>
      <c r="F57" s="323" t="s">
        <v>230</v>
      </c>
      <c r="G57" s="324">
        <v>108</v>
      </c>
      <c r="H57" s="428"/>
      <c r="I57" s="324">
        <f>G57*AO57</f>
        <v>0</v>
      </c>
      <c r="J57" s="324">
        <f>G57*AP57</f>
        <v>0</v>
      </c>
      <c r="K57" s="324">
        <f>G57*H57</f>
        <v>0</v>
      </c>
      <c r="L57" s="324">
        <v>1.7000000000000001E-4</v>
      </c>
      <c r="M57" s="324">
        <f>G57*L57</f>
        <v>1.8360000000000001E-2</v>
      </c>
      <c r="N57" s="325" t="s">
        <v>809</v>
      </c>
      <c r="O57" s="282"/>
      <c r="Z57" s="324">
        <f>IF(AQ57="5",BJ57,0)</f>
        <v>0</v>
      </c>
      <c r="AB57" s="324">
        <f>IF(AQ57="1",BH57,0)</f>
        <v>0</v>
      </c>
      <c r="AC57" s="324">
        <f>IF(AQ57="1",BI57,0)</f>
        <v>0</v>
      </c>
      <c r="AD57" s="324">
        <f>IF(AQ57="7",BH57,0)</f>
        <v>0</v>
      </c>
      <c r="AE57" s="324">
        <f>IF(AQ57="7",BI57,0)</f>
        <v>0</v>
      </c>
      <c r="AF57" s="324">
        <f>IF(AQ57="2",BH57,0)</f>
        <v>0</v>
      </c>
      <c r="AG57" s="324">
        <f>IF(AQ57="2",BI57,0)</f>
        <v>0</v>
      </c>
      <c r="AH57" s="324">
        <f>IF(AQ57="0",BJ57,0)</f>
        <v>0</v>
      </c>
      <c r="AI57" s="299" t="s">
        <v>805</v>
      </c>
      <c r="AJ57" s="324">
        <f>IF(AN57=0,K57,0)</f>
        <v>0</v>
      </c>
      <c r="AK57" s="324">
        <f>IF(AN57=15,K57,0)</f>
        <v>0</v>
      </c>
      <c r="AL57" s="324">
        <f>IF(AN57=21,K57,0)</f>
        <v>0</v>
      </c>
      <c r="AN57" s="324">
        <v>21</v>
      </c>
      <c r="AO57" s="324">
        <f>H57*0.403448275862069</f>
        <v>0</v>
      </c>
      <c r="AP57" s="324">
        <f>H57*(1-0.403448275862069)</f>
        <v>0</v>
      </c>
      <c r="AQ57" s="326" t="s">
        <v>810</v>
      </c>
      <c r="AV57" s="324">
        <f>AW57+AX57</f>
        <v>0</v>
      </c>
      <c r="AW57" s="324">
        <f>G57*AO57</f>
        <v>0</v>
      </c>
      <c r="AX57" s="324">
        <f>G57*AP57</f>
        <v>0</v>
      </c>
      <c r="AY57" s="326" t="s">
        <v>879</v>
      </c>
      <c r="AZ57" s="326" t="s">
        <v>821</v>
      </c>
      <c r="BA57" s="299" t="s">
        <v>813</v>
      </c>
      <c r="BC57" s="324">
        <f>AW57+AX57</f>
        <v>0</v>
      </c>
      <c r="BD57" s="324">
        <f>H57/(100-BE57)*100</f>
        <v>0</v>
      </c>
      <c r="BE57" s="324">
        <v>0</v>
      </c>
      <c r="BF57" s="324">
        <f>M57</f>
        <v>1.8360000000000001E-2</v>
      </c>
      <c r="BH57" s="324">
        <f>G57*AO57</f>
        <v>0</v>
      </c>
      <c r="BI57" s="324">
        <f>G57*AP57</f>
        <v>0</v>
      </c>
      <c r="BJ57" s="324">
        <f>G57*H57</f>
        <v>0</v>
      </c>
      <c r="BK57" s="324" t="s">
        <v>814</v>
      </c>
      <c r="BL57" s="324">
        <v>722</v>
      </c>
    </row>
    <row r="58" spans="1:64" x14ac:dyDescent="0.2">
      <c r="A58" s="282"/>
      <c r="D58" s="327" t="s">
        <v>880</v>
      </c>
      <c r="E58" s="327"/>
      <c r="G58" s="328">
        <v>2</v>
      </c>
      <c r="H58" s="429"/>
      <c r="N58" s="329"/>
      <c r="O58" s="282"/>
    </row>
    <row r="59" spans="1:64" x14ac:dyDescent="0.2">
      <c r="A59" s="282"/>
      <c r="D59" s="327" t="s">
        <v>881</v>
      </c>
      <c r="E59" s="327"/>
      <c r="G59" s="328">
        <v>58</v>
      </c>
      <c r="H59" s="429"/>
      <c r="N59" s="329"/>
      <c r="O59" s="282"/>
    </row>
    <row r="60" spans="1:64" x14ac:dyDescent="0.2">
      <c r="A60" s="282"/>
      <c r="D60" s="327" t="s">
        <v>882</v>
      </c>
      <c r="E60" s="327"/>
      <c r="G60" s="328">
        <v>21</v>
      </c>
      <c r="H60" s="429"/>
      <c r="N60" s="329"/>
      <c r="O60" s="282"/>
    </row>
    <row r="61" spans="1:64" x14ac:dyDescent="0.2">
      <c r="A61" s="282"/>
      <c r="D61" s="327" t="s">
        <v>883</v>
      </c>
      <c r="E61" s="327"/>
      <c r="G61" s="328">
        <v>9</v>
      </c>
      <c r="H61" s="429"/>
      <c r="N61" s="329"/>
      <c r="O61" s="282"/>
    </row>
    <row r="62" spans="1:64" x14ac:dyDescent="0.2">
      <c r="A62" s="282"/>
      <c r="D62" s="327" t="s">
        <v>884</v>
      </c>
      <c r="E62" s="327"/>
      <c r="G62" s="328">
        <v>6</v>
      </c>
      <c r="H62" s="429"/>
      <c r="N62" s="329"/>
      <c r="O62" s="282"/>
    </row>
    <row r="63" spans="1:64" x14ac:dyDescent="0.2">
      <c r="A63" s="282"/>
      <c r="D63" s="327" t="s">
        <v>885</v>
      </c>
      <c r="E63" s="327"/>
      <c r="G63" s="328">
        <v>12</v>
      </c>
      <c r="H63" s="429"/>
      <c r="N63" s="329"/>
      <c r="O63" s="282"/>
    </row>
    <row r="64" spans="1:64" x14ac:dyDescent="0.2">
      <c r="A64" s="322" t="s">
        <v>889</v>
      </c>
      <c r="B64" s="323" t="s">
        <v>805</v>
      </c>
      <c r="C64" s="323" t="s">
        <v>890</v>
      </c>
      <c r="D64" s="285" t="s">
        <v>891</v>
      </c>
      <c r="E64" s="285"/>
      <c r="F64" s="323" t="s">
        <v>375</v>
      </c>
      <c r="G64" s="324">
        <v>123.62</v>
      </c>
      <c r="H64" s="428"/>
      <c r="I64" s="324">
        <f>G64*AO64</f>
        <v>0</v>
      </c>
      <c r="J64" s="324">
        <f>G64*AP64</f>
        <v>0</v>
      </c>
      <c r="K64" s="324">
        <f>G64*H64</f>
        <v>0</v>
      </c>
      <c r="L64" s="324">
        <v>4.8000000000000001E-4</v>
      </c>
      <c r="M64" s="324">
        <f>G64*L64</f>
        <v>5.9337600000000004E-2</v>
      </c>
      <c r="N64" s="325" t="s">
        <v>809</v>
      </c>
      <c r="O64" s="282"/>
      <c r="Z64" s="324">
        <f>IF(AQ64="5",BJ64,0)</f>
        <v>0</v>
      </c>
      <c r="AB64" s="324">
        <f>IF(AQ64="1",BH64,0)</f>
        <v>0</v>
      </c>
      <c r="AC64" s="324">
        <f>IF(AQ64="1",BI64,0)</f>
        <v>0</v>
      </c>
      <c r="AD64" s="324">
        <f>IF(AQ64="7",BH64,0)</f>
        <v>0</v>
      </c>
      <c r="AE64" s="324">
        <f>IF(AQ64="7",BI64,0)</f>
        <v>0</v>
      </c>
      <c r="AF64" s="324">
        <f>IF(AQ64="2",BH64,0)</f>
        <v>0</v>
      </c>
      <c r="AG64" s="324">
        <f>IF(AQ64="2",BI64,0)</f>
        <v>0</v>
      </c>
      <c r="AH64" s="324">
        <f>IF(AQ64="0",BJ64,0)</f>
        <v>0</v>
      </c>
      <c r="AI64" s="299" t="s">
        <v>805</v>
      </c>
      <c r="AJ64" s="324">
        <f>IF(AN64=0,K64,0)</f>
        <v>0</v>
      </c>
      <c r="AK64" s="324">
        <f>IF(AN64=15,K64,0)</f>
        <v>0</v>
      </c>
      <c r="AL64" s="324">
        <f>IF(AN64=21,K64,0)</f>
        <v>0</v>
      </c>
      <c r="AN64" s="324">
        <v>21</v>
      </c>
      <c r="AO64" s="324">
        <f>H64*0.333532762541076</f>
        <v>0</v>
      </c>
      <c r="AP64" s="324">
        <f>H64*(1-0.333532762541076)</f>
        <v>0</v>
      </c>
      <c r="AQ64" s="326" t="s">
        <v>810</v>
      </c>
      <c r="AV64" s="324">
        <f>AW64+AX64</f>
        <v>0</v>
      </c>
      <c r="AW64" s="324">
        <f>G64*AO64</f>
        <v>0</v>
      </c>
      <c r="AX64" s="324">
        <f>G64*AP64</f>
        <v>0</v>
      </c>
      <c r="AY64" s="326" t="s">
        <v>879</v>
      </c>
      <c r="AZ64" s="326" t="s">
        <v>821</v>
      </c>
      <c r="BA64" s="299" t="s">
        <v>813</v>
      </c>
      <c r="BC64" s="324">
        <f>AW64+AX64</f>
        <v>0</v>
      </c>
      <c r="BD64" s="324">
        <f>H64/(100-BE64)*100</f>
        <v>0</v>
      </c>
      <c r="BE64" s="324">
        <v>0</v>
      </c>
      <c r="BF64" s="324">
        <f>M64</f>
        <v>5.9337600000000004E-2</v>
      </c>
      <c r="BH64" s="324">
        <f>G64*AO64</f>
        <v>0</v>
      </c>
      <c r="BI64" s="324">
        <f>G64*AP64</f>
        <v>0</v>
      </c>
      <c r="BJ64" s="324">
        <f>G64*H64</f>
        <v>0</v>
      </c>
      <c r="BK64" s="324" t="s">
        <v>814</v>
      </c>
      <c r="BL64" s="324">
        <v>722</v>
      </c>
    </row>
    <row r="65" spans="1:64" x14ac:dyDescent="0.2">
      <c r="A65" s="282"/>
      <c r="D65" s="327" t="s">
        <v>892</v>
      </c>
      <c r="E65" s="327"/>
      <c r="G65" s="328">
        <v>123.62</v>
      </c>
      <c r="H65" s="429"/>
      <c r="N65" s="329"/>
      <c r="O65" s="282"/>
    </row>
    <row r="66" spans="1:64" x14ac:dyDescent="0.2">
      <c r="A66" s="322" t="s">
        <v>893</v>
      </c>
      <c r="B66" s="323" t="s">
        <v>805</v>
      </c>
      <c r="C66" s="323" t="s">
        <v>894</v>
      </c>
      <c r="D66" s="285" t="s">
        <v>895</v>
      </c>
      <c r="E66" s="285"/>
      <c r="F66" s="323" t="s">
        <v>375</v>
      </c>
      <c r="G66" s="324">
        <v>31.84</v>
      </c>
      <c r="H66" s="428"/>
      <c r="I66" s="324">
        <f>G66*AO66</f>
        <v>0</v>
      </c>
      <c r="J66" s="324">
        <f>G66*AP66</f>
        <v>0</v>
      </c>
      <c r="K66" s="324">
        <f>G66*H66</f>
        <v>0</v>
      </c>
      <c r="L66" s="324">
        <v>5.9000000000000003E-4</v>
      </c>
      <c r="M66" s="324">
        <f>G66*L66</f>
        <v>1.87856E-2</v>
      </c>
      <c r="N66" s="325" t="s">
        <v>809</v>
      </c>
      <c r="O66" s="282"/>
      <c r="Z66" s="324">
        <f>IF(AQ66="5",BJ66,0)</f>
        <v>0</v>
      </c>
      <c r="AB66" s="324">
        <f>IF(AQ66="1",BH66,0)</f>
        <v>0</v>
      </c>
      <c r="AC66" s="324">
        <f>IF(AQ66="1",BI66,0)</f>
        <v>0</v>
      </c>
      <c r="AD66" s="324">
        <f>IF(AQ66="7",BH66,0)</f>
        <v>0</v>
      </c>
      <c r="AE66" s="324">
        <f>IF(AQ66="7",BI66,0)</f>
        <v>0</v>
      </c>
      <c r="AF66" s="324">
        <f>IF(AQ66="2",BH66,0)</f>
        <v>0</v>
      </c>
      <c r="AG66" s="324">
        <f>IF(AQ66="2",BI66,0)</f>
        <v>0</v>
      </c>
      <c r="AH66" s="324">
        <f>IF(AQ66="0",BJ66,0)</f>
        <v>0</v>
      </c>
      <c r="AI66" s="299" t="s">
        <v>805</v>
      </c>
      <c r="AJ66" s="324">
        <f>IF(AN66=0,K66,0)</f>
        <v>0</v>
      </c>
      <c r="AK66" s="324">
        <f>IF(AN66=15,K66,0)</f>
        <v>0</v>
      </c>
      <c r="AL66" s="324">
        <f>IF(AN66=21,K66,0)</f>
        <v>0</v>
      </c>
      <c r="AN66" s="324">
        <v>21</v>
      </c>
      <c r="AO66" s="324">
        <f>H66*0.390732600732601</f>
        <v>0</v>
      </c>
      <c r="AP66" s="324">
        <f>H66*(1-0.390732600732601)</f>
        <v>0</v>
      </c>
      <c r="AQ66" s="326" t="s">
        <v>810</v>
      </c>
      <c r="AV66" s="324">
        <f>AW66+AX66</f>
        <v>0</v>
      </c>
      <c r="AW66" s="324">
        <f>G66*AO66</f>
        <v>0</v>
      </c>
      <c r="AX66" s="324">
        <f>G66*AP66</f>
        <v>0</v>
      </c>
      <c r="AY66" s="326" t="s">
        <v>879</v>
      </c>
      <c r="AZ66" s="326" t="s">
        <v>821</v>
      </c>
      <c r="BA66" s="299" t="s">
        <v>813</v>
      </c>
      <c r="BC66" s="324">
        <f>AW66+AX66</f>
        <v>0</v>
      </c>
      <c r="BD66" s="324">
        <f>H66/(100-BE66)*100</f>
        <v>0</v>
      </c>
      <c r="BE66" s="324">
        <v>0</v>
      </c>
      <c r="BF66" s="324">
        <f>M66</f>
        <v>1.87856E-2</v>
      </c>
      <c r="BH66" s="324">
        <f>G66*AO66</f>
        <v>0</v>
      </c>
      <c r="BI66" s="324">
        <f>G66*AP66</f>
        <v>0</v>
      </c>
      <c r="BJ66" s="324">
        <f>G66*H66</f>
        <v>0</v>
      </c>
      <c r="BK66" s="324" t="s">
        <v>814</v>
      </c>
      <c r="BL66" s="324">
        <v>722</v>
      </c>
    </row>
    <row r="67" spans="1:64" x14ac:dyDescent="0.2">
      <c r="A67" s="282"/>
      <c r="D67" s="327" t="s">
        <v>896</v>
      </c>
      <c r="E67" s="327"/>
      <c r="G67" s="328">
        <v>31.84</v>
      </c>
      <c r="H67" s="429"/>
      <c r="N67" s="329"/>
      <c r="O67" s="282"/>
    </row>
    <row r="68" spans="1:64" x14ac:dyDescent="0.2">
      <c r="A68" s="322" t="s">
        <v>897</v>
      </c>
      <c r="B68" s="323" t="s">
        <v>805</v>
      </c>
      <c r="C68" s="323" t="s">
        <v>898</v>
      </c>
      <c r="D68" s="285" t="s">
        <v>899</v>
      </c>
      <c r="E68" s="285"/>
      <c r="F68" s="323" t="s">
        <v>375</v>
      </c>
      <c r="G68" s="324">
        <v>10.199999999999999</v>
      </c>
      <c r="H68" s="428"/>
      <c r="I68" s="324">
        <f>G68*AO68</f>
        <v>0</v>
      </c>
      <c r="J68" s="324">
        <f>G68*AP68</f>
        <v>0</v>
      </c>
      <c r="K68" s="324">
        <f>G68*H68</f>
        <v>0</v>
      </c>
      <c r="L68" s="324">
        <v>7.6999999999999996E-4</v>
      </c>
      <c r="M68" s="324">
        <f>G68*L68</f>
        <v>7.8539999999999999E-3</v>
      </c>
      <c r="N68" s="325" t="s">
        <v>809</v>
      </c>
      <c r="O68" s="282"/>
      <c r="Z68" s="324">
        <f>IF(AQ68="5",BJ68,0)</f>
        <v>0</v>
      </c>
      <c r="AB68" s="324">
        <f>IF(AQ68="1",BH68,0)</f>
        <v>0</v>
      </c>
      <c r="AC68" s="324">
        <f>IF(AQ68="1",BI68,0)</f>
        <v>0</v>
      </c>
      <c r="AD68" s="324">
        <f>IF(AQ68="7",BH68,0)</f>
        <v>0</v>
      </c>
      <c r="AE68" s="324">
        <f>IF(AQ68="7",BI68,0)</f>
        <v>0</v>
      </c>
      <c r="AF68" s="324">
        <f>IF(AQ68="2",BH68,0)</f>
        <v>0</v>
      </c>
      <c r="AG68" s="324">
        <f>IF(AQ68="2",BI68,0)</f>
        <v>0</v>
      </c>
      <c r="AH68" s="324">
        <f>IF(AQ68="0",BJ68,0)</f>
        <v>0</v>
      </c>
      <c r="AI68" s="299" t="s">
        <v>805</v>
      </c>
      <c r="AJ68" s="324">
        <f>IF(AN68=0,K68,0)</f>
        <v>0</v>
      </c>
      <c r="AK68" s="324">
        <f>IF(AN68=15,K68,0)</f>
        <v>0</v>
      </c>
      <c r="AL68" s="324">
        <f>IF(AN68=21,K68,0)</f>
        <v>0</v>
      </c>
      <c r="AN68" s="324">
        <v>21</v>
      </c>
      <c r="AO68" s="324">
        <f>H68*0.484555555555556</f>
        <v>0</v>
      </c>
      <c r="AP68" s="324">
        <f>H68*(1-0.484555555555556)</f>
        <v>0</v>
      </c>
      <c r="AQ68" s="326" t="s">
        <v>810</v>
      </c>
      <c r="AV68" s="324">
        <f>AW68+AX68</f>
        <v>0</v>
      </c>
      <c r="AW68" s="324">
        <f>G68*AO68</f>
        <v>0</v>
      </c>
      <c r="AX68" s="324">
        <f>G68*AP68</f>
        <v>0</v>
      </c>
      <c r="AY68" s="326" t="s">
        <v>879</v>
      </c>
      <c r="AZ68" s="326" t="s">
        <v>821</v>
      </c>
      <c r="BA68" s="299" t="s">
        <v>813</v>
      </c>
      <c r="BC68" s="324">
        <f>AW68+AX68</f>
        <v>0</v>
      </c>
      <c r="BD68" s="324">
        <f>H68/(100-BE68)*100</f>
        <v>0</v>
      </c>
      <c r="BE68" s="324">
        <v>0</v>
      </c>
      <c r="BF68" s="324">
        <f>M68</f>
        <v>7.8539999999999999E-3</v>
      </c>
      <c r="BH68" s="324">
        <f>G68*AO68</f>
        <v>0</v>
      </c>
      <c r="BI68" s="324">
        <f>G68*AP68</f>
        <v>0</v>
      </c>
      <c r="BJ68" s="324">
        <f>G68*H68</f>
        <v>0</v>
      </c>
      <c r="BK68" s="324" t="s">
        <v>814</v>
      </c>
      <c r="BL68" s="324">
        <v>722</v>
      </c>
    </row>
    <row r="69" spans="1:64" x14ac:dyDescent="0.2">
      <c r="A69" s="282"/>
      <c r="D69" s="327" t="s">
        <v>900</v>
      </c>
      <c r="E69" s="327"/>
      <c r="G69" s="328">
        <v>10.199999999999999</v>
      </c>
      <c r="H69" s="429"/>
      <c r="N69" s="329"/>
      <c r="O69" s="282"/>
    </row>
    <row r="70" spans="1:64" x14ac:dyDescent="0.2">
      <c r="A70" s="322" t="s">
        <v>901</v>
      </c>
      <c r="B70" s="323" t="s">
        <v>805</v>
      </c>
      <c r="C70" s="323" t="s">
        <v>902</v>
      </c>
      <c r="D70" s="285" t="s">
        <v>903</v>
      </c>
      <c r="E70" s="285"/>
      <c r="F70" s="323" t="s">
        <v>375</v>
      </c>
      <c r="G70" s="324">
        <v>10.7</v>
      </c>
      <c r="H70" s="428"/>
      <c r="I70" s="324">
        <f>G70*AO70</f>
        <v>0</v>
      </c>
      <c r="J70" s="324">
        <f>G70*AP70</f>
        <v>0</v>
      </c>
      <c r="K70" s="324">
        <f>G70*H70</f>
        <v>0</v>
      </c>
      <c r="L70" s="324">
        <v>1.0399999999999999E-3</v>
      </c>
      <c r="M70" s="324">
        <f>G70*L70</f>
        <v>1.1127999999999999E-2</v>
      </c>
      <c r="N70" s="325" t="s">
        <v>809</v>
      </c>
      <c r="O70" s="282"/>
      <c r="Z70" s="324">
        <f>IF(AQ70="5",BJ70,0)</f>
        <v>0</v>
      </c>
      <c r="AB70" s="324">
        <f>IF(AQ70="1",BH70,0)</f>
        <v>0</v>
      </c>
      <c r="AC70" s="324">
        <f>IF(AQ70="1",BI70,0)</f>
        <v>0</v>
      </c>
      <c r="AD70" s="324">
        <f>IF(AQ70="7",BH70,0)</f>
        <v>0</v>
      </c>
      <c r="AE70" s="324">
        <f>IF(AQ70="7",BI70,0)</f>
        <v>0</v>
      </c>
      <c r="AF70" s="324">
        <f>IF(AQ70="2",BH70,0)</f>
        <v>0</v>
      </c>
      <c r="AG70" s="324">
        <f>IF(AQ70="2",BI70,0)</f>
        <v>0</v>
      </c>
      <c r="AH70" s="324">
        <f>IF(AQ70="0",BJ70,0)</f>
        <v>0</v>
      </c>
      <c r="AI70" s="299" t="s">
        <v>805</v>
      </c>
      <c r="AJ70" s="324">
        <f>IF(AN70=0,K70,0)</f>
        <v>0</v>
      </c>
      <c r="AK70" s="324">
        <f>IF(AN70=15,K70,0)</f>
        <v>0</v>
      </c>
      <c r="AL70" s="324">
        <f>IF(AN70=21,K70,0)</f>
        <v>0</v>
      </c>
      <c r="AN70" s="324">
        <v>21</v>
      </c>
      <c r="AO70" s="324">
        <f>H70*0.604426862368142</f>
        <v>0</v>
      </c>
      <c r="AP70" s="324">
        <f>H70*(1-0.604426862368142)</f>
        <v>0</v>
      </c>
      <c r="AQ70" s="326" t="s">
        <v>810</v>
      </c>
      <c r="AV70" s="324">
        <f>AW70+AX70</f>
        <v>0</v>
      </c>
      <c r="AW70" s="324">
        <f>G70*AO70</f>
        <v>0</v>
      </c>
      <c r="AX70" s="324">
        <f>G70*AP70</f>
        <v>0</v>
      </c>
      <c r="AY70" s="326" t="s">
        <v>879</v>
      </c>
      <c r="AZ70" s="326" t="s">
        <v>821</v>
      </c>
      <c r="BA70" s="299" t="s">
        <v>813</v>
      </c>
      <c r="BC70" s="324">
        <f>AW70+AX70</f>
        <v>0</v>
      </c>
      <c r="BD70" s="324">
        <f>H70/(100-BE70)*100</f>
        <v>0</v>
      </c>
      <c r="BE70" s="324">
        <v>0</v>
      </c>
      <c r="BF70" s="324">
        <f>M70</f>
        <v>1.1127999999999999E-2</v>
      </c>
      <c r="BH70" s="324">
        <f>G70*AO70</f>
        <v>0</v>
      </c>
      <c r="BI70" s="324">
        <f>G70*AP70</f>
        <v>0</v>
      </c>
      <c r="BJ70" s="324">
        <f>G70*H70</f>
        <v>0</v>
      </c>
      <c r="BK70" s="324" t="s">
        <v>814</v>
      </c>
      <c r="BL70" s="324">
        <v>722</v>
      </c>
    </row>
    <row r="71" spans="1:64" x14ac:dyDescent="0.2">
      <c r="A71" s="282"/>
      <c r="D71" s="327" t="s">
        <v>904</v>
      </c>
      <c r="E71" s="327"/>
      <c r="G71" s="328">
        <v>10.7</v>
      </c>
      <c r="H71" s="429"/>
      <c r="N71" s="329"/>
      <c r="O71" s="282"/>
    </row>
    <row r="72" spans="1:64" x14ac:dyDescent="0.2">
      <c r="A72" s="322" t="s">
        <v>905</v>
      </c>
      <c r="B72" s="323" t="s">
        <v>805</v>
      </c>
      <c r="C72" s="323" t="s">
        <v>906</v>
      </c>
      <c r="D72" s="285" t="s">
        <v>907</v>
      </c>
      <c r="E72" s="285"/>
      <c r="F72" s="323" t="s">
        <v>375</v>
      </c>
      <c r="G72" s="324">
        <v>444.8</v>
      </c>
      <c r="H72" s="428"/>
      <c r="I72" s="324">
        <f>G72*AO72</f>
        <v>0</v>
      </c>
      <c r="J72" s="324">
        <f>G72*AP72</f>
        <v>0</v>
      </c>
      <c r="K72" s="324">
        <f>G72*H72</f>
        <v>0</v>
      </c>
      <c r="L72" s="324">
        <v>0</v>
      </c>
      <c r="M72" s="324">
        <f>G72*L72</f>
        <v>0</v>
      </c>
      <c r="N72" s="325" t="s">
        <v>809</v>
      </c>
      <c r="O72" s="282"/>
      <c r="Z72" s="324">
        <f>IF(AQ72="5",BJ72,0)</f>
        <v>0</v>
      </c>
      <c r="AB72" s="324">
        <f>IF(AQ72="1",BH72,0)</f>
        <v>0</v>
      </c>
      <c r="AC72" s="324">
        <f>IF(AQ72="1",BI72,0)</f>
        <v>0</v>
      </c>
      <c r="AD72" s="324">
        <f>IF(AQ72="7",BH72,0)</f>
        <v>0</v>
      </c>
      <c r="AE72" s="324">
        <f>IF(AQ72="7",BI72,0)</f>
        <v>0</v>
      </c>
      <c r="AF72" s="324">
        <f>IF(AQ72="2",BH72,0)</f>
        <v>0</v>
      </c>
      <c r="AG72" s="324">
        <f>IF(AQ72="2",BI72,0)</f>
        <v>0</v>
      </c>
      <c r="AH72" s="324">
        <f>IF(AQ72="0",BJ72,0)</f>
        <v>0</v>
      </c>
      <c r="AI72" s="299" t="s">
        <v>805</v>
      </c>
      <c r="AJ72" s="324">
        <f>IF(AN72=0,K72,0)</f>
        <v>0</v>
      </c>
      <c r="AK72" s="324">
        <f>IF(AN72=15,K72,0)</f>
        <v>0</v>
      </c>
      <c r="AL72" s="324">
        <f>IF(AN72=21,K72,0)</f>
        <v>0</v>
      </c>
      <c r="AN72" s="324">
        <v>21</v>
      </c>
      <c r="AO72" s="324">
        <f>H72*0.0137254901960784</f>
        <v>0</v>
      </c>
      <c r="AP72" s="324">
        <f>H72*(1-0.0137254901960784)</f>
        <v>0</v>
      </c>
      <c r="AQ72" s="326" t="s">
        <v>810</v>
      </c>
      <c r="AV72" s="324">
        <f>AW72+AX72</f>
        <v>0</v>
      </c>
      <c r="AW72" s="324">
        <f>G72*AO72</f>
        <v>0</v>
      </c>
      <c r="AX72" s="324">
        <f>G72*AP72</f>
        <v>0</v>
      </c>
      <c r="AY72" s="326" t="s">
        <v>879</v>
      </c>
      <c r="AZ72" s="326" t="s">
        <v>821</v>
      </c>
      <c r="BA72" s="299" t="s">
        <v>813</v>
      </c>
      <c r="BC72" s="324">
        <f>AW72+AX72</f>
        <v>0</v>
      </c>
      <c r="BD72" s="324">
        <f>H72/(100-BE72)*100</f>
        <v>0</v>
      </c>
      <c r="BE72" s="324">
        <v>0</v>
      </c>
      <c r="BF72" s="324">
        <f>M72</f>
        <v>0</v>
      </c>
      <c r="BH72" s="324">
        <f>G72*AO72</f>
        <v>0</v>
      </c>
      <c r="BI72" s="324">
        <f>G72*AP72</f>
        <v>0</v>
      </c>
      <c r="BJ72" s="324">
        <f>G72*H72</f>
        <v>0</v>
      </c>
      <c r="BK72" s="324" t="s">
        <v>814</v>
      </c>
      <c r="BL72" s="324">
        <v>722</v>
      </c>
    </row>
    <row r="73" spans="1:64" x14ac:dyDescent="0.2">
      <c r="A73" s="282"/>
      <c r="D73" s="327" t="s">
        <v>908</v>
      </c>
      <c r="E73" s="327"/>
      <c r="G73" s="328">
        <v>444.8</v>
      </c>
      <c r="H73" s="429"/>
      <c r="N73" s="329"/>
      <c r="O73" s="282"/>
    </row>
    <row r="74" spans="1:64" x14ac:dyDescent="0.2">
      <c r="A74" s="322" t="s">
        <v>909</v>
      </c>
      <c r="B74" s="323" t="s">
        <v>805</v>
      </c>
      <c r="C74" s="323" t="s">
        <v>910</v>
      </c>
      <c r="D74" s="285" t="s">
        <v>911</v>
      </c>
      <c r="E74" s="285"/>
      <c r="F74" s="323" t="s">
        <v>375</v>
      </c>
      <c r="G74" s="324">
        <v>444.8</v>
      </c>
      <c r="H74" s="428"/>
      <c r="I74" s="324">
        <f>G74*AO74</f>
        <v>0</v>
      </c>
      <c r="J74" s="324">
        <f>G74*AP74</f>
        <v>0</v>
      </c>
      <c r="K74" s="324">
        <f>G74*H74</f>
        <v>0</v>
      </c>
      <c r="L74" s="324">
        <v>1.0000000000000001E-5</v>
      </c>
      <c r="M74" s="324">
        <f>G74*L74</f>
        <v>4.4480000000000006E-3</v>
      </c>
      <c r="N74" s="325" t="s">
        <v>809</v>
      </c>
      <c r="O74" s="282"/>
      <c r="Z74" s="324">
        <f>IF(AQ74="5",BJ74,0)</f>
        <v>0</v>
      </c>
      <c r="AB74" s="324">
        <f>IF(AQ74="1",BH74,0)</f>
        <v>0</v>
      </c>
      <c r="AC74" s="324">
        <f>IF(AQ74="1",BI74,0)</f>
        <v>0</v>
      </c>
      <c r="AD74" s="324">
        <f>IF(AQ74="7",BH74,0)</f>
        <v>0</v>
      </c>
      <c r="AE74" s="324">
        <f>IF(AQ74="7",BI74,0)</f>
        <v>0</v>
      </c>
      <c r="AF74" s="324">
        <f>IF(AQ74="2",BH74,0)</f>
        <v>0</v>
      </c>
      <c r="AG74" s="324">
        <f>IF(AQ74="2",BI74,0)</f>
        <v>0</v>
      </c>
      <c r="AH74" s="324">
        <f>IF(AQ74="0",BJ74,0)</f>
        <v>0</v>
      </c>
      <c r="AI74" s="299" t="s">
        <v>805</v>
      </c>
      <c r="AJ74" s="324">
        <f>IF(AN74=0,K74,0)</f>
        <v>0</v>
      </c>
      <c r="AK74" s="324">
        <f>IF(AN74=15,K74,0)</f>
        <v>0</v>
      </c>
      <c r="AL74" s="324">
        <f>IF(AN74=21,K74,0)</f>
        <v>0</v>
      </c>
      <c r="AN74" s="324">
        <v>21</v>
      </c>
      <c r="AO74" s="324">
        <f>H74*0.0501622897609914</f>
        <v>0</v>
      </c>
      <c r="AP74" s="324">
        <f>H74*(1-0.0501622897609914)</f>
        <v>0</v>
      </c>
      <c r="AQ74" s="326" t="s">
        <v>810</v>
      </c>
      <c r="AV74" s="324">
        <f>AW74+AX74</f>
        <v>0</v>
      </c>
      <c r="AW74" s="324">
        <f>G74*AO74</f>
        <v>0</v>
      </c>
      <c r="AX74" s="324">
        <f>G74*AP74</f>
        <v>0</v>
      </c>
      <c r="AY74" s="326" t="s">
        <v>879</v>
      </c>
      <c r="AZ74" s="326" t="s">
        <v>821</v>
      </c>
      <c r="BA74" s="299" t="s">
        <v>813</v>
      </c>
      <c r="BC74" s="324">
        <f>AW74+AX74</f>
        <v>0</v>
      </c>
      <c r="BD74" s="324">
        <f>H74/(100-BE74)*100</f>
        <v>0</v>
      </c>
      <c r="BE74" s="324">
        <v>0</v>
      </c>
      <c r="BF74" s="324">
        <f>M74</f>
        <v>4.4480000000000006E-3</v>
      </c>
      <c r="BH74" s="324">
        <f>G74*AO74</f>
        <v>0</v>
      </c>
      <c r="BI74" s="324">
        <f>G74*AP74</f>
        <v>0</v>
      </c>
      <c r="BJ74" s="324">
        <f>G74*H74</f>
        <v>0</v>
      </c>
      <c r="BK74" s="324" t="s">
        <v>814</v>
      </c>
      <c r="BL74" s="324">
        <v>722</v>
      </c>
    </row>
    <row r="75" spans="1:64" x14ac:dyDescent="0.2">
      <c r="A75" s="282"/>
      <c r="D75" s="327" t="s">
        <v>908</v>
      </c>
      <c r="E75" s="327"/>
      <c r="G75" s="328">
        <v>444.8</v>
      </c>
      <c r="H75" s="429"/>
      <c r="N75" s="329"/>
      <c r="O75" s="282"/>
    </row>
    <row r="76" spans="1:64" x14ac:dyDescent="0.2">
      <c r="A76" s="322" t="s">
        <v>912</v>
      </c>
      <c r="B76" s="323" t="s">
        <v>805</v>
      </c>
      <c r="C76" s="323" t="s">
        <v>913</v>
      </c>
      <c r="D76" s="285" t="s">
        <v>914</v>
      </c>
      <c r="E76" s="285"/>
      <c r="F76" s="323" t="s">
        <v>915</v>
      </c>
      <c r="G76" s="324">
        <v>1</v>
      </c>
      <c r="H76" s="428"/>
      <c r="I76" s="324">
        <f>G76*AO76</f>
        <v>0</v>
      </c>
      <c r="J76" s="324">
        <f>G76*AP76</f>
        <v>0</v>
      </c>
      <c r="K76" s="324">
        <f>G76*H76</f>
        <v>0</v>
      </c>
      <c r="L76" s="324">
        <v>0</v>
      </c>
      <c r="M76" s="324">
        <f>G76*L76</f>
        <v>0</v>
      </c>
      <c r="N76" s="325" t="s">
        <v>916</v>
      </c>
      <c r="O76" s="282"/>
      <c r="Z76" s="324">
        <f>IF(AQ76="5",BJ76,0)</f>
        <v>0</v>
      </c>
      <c r="AB76" s="324">
        <f>IF(AQ76="1",BH76,0)</f>
        <v>0</v>
      </c>
      <c r="AC76" s="324">
        <f>IF(AQ76="1",BI76,0)</f>
        <v>0</v>
      </c>
      <c r="AD76" s="324">
        <f>IF(AQ76="7",BH76,0)</f>
        <v>0</v>
      </c>
      <c r="AE76" s="324">
        <f>IF(AQ76="7",BI76,0)</f>
        <v>0</v>
      </c>
      <c r="AF76" s="324">
        <f>IF(AQ76="2",BH76,0)</f>
        <v>0</v>
      </c>
      <c r="AG76" s="324">
        <f>IF(AQ76="2",BI76,0)</f>
        <v>0</v>
      </c>
      <c r="AH76" s="324">
        <f>IF(AQ76="0",BJ76,0)</f>
        <v>0</v>
      </c>
      <c r="AI76" s="299" t="s">
        <v>805</v>
      </c>
      <c r="AJ76" s="324">
        <f>IF(AN76=0,K76,0)</f>
        <v>0</v>
      </c>
      <c r="AK76" s="324">
        <f>IF(AN76=15,K76,0)</f>
        <v>0</v>
      </c>
      <c r="AL76" s="324">
        <f>IF(AN76=21,K76,0)</f>
        <v>0</v>
      </c>
      <c r="AN76" s="324">
        <v>21</v>
      </c>
      <c r="AO76" s="324">
        <f>H76*0</f>
        <v>0</v>
      </c>
      <c r="AP76" s="324">
        <f>H76*(1-0)</f>
        <v>0</v>
      </c>
      <c r="AQ76" s="326" t="s">
        <v>810</v>
      </c>
      <c r="AV76" s="324">
        <f>AW76+AX76</f>
        <v>0</v>
      </c>
      <c r="AW76" s="324">
        <f>G76*AO76</f>
        <v>0</v>
      </c>
      <c r="AX76" s="324">
        <f>G76*AP76</f>
        <v>0</v>
      </c>
      <c r="AY76" s="326" t="s">
        <v>879</v>
      </c>
      <c r="AZ76" s="326" t="s">
        <v>821</v>
      </c>
      <c r="BA76" s="299" t="s">
        <v>813</v>
      </c>
      <c r="BC76" s="324">
        <f>AW76+AX76</f>
        <v>0</v>
      </c>
      <c r="BD76" s="324">
        <f>H76/(100-BE76)*100</f>
        <v>0</v>
      </c>
      <c r="BE76" s="324">
        <v>0</v>
      </c>
      <c r="BF76" s="324">
        <f>M76</f>
        <v>0</v>
      </c>
      <c r="BH76" s="324">
        <f>G76*AO76</f>
        <v>0</v>
      </c>
      <c r="BI76" s="324">
        <f>G76*AP76</f>
        <v>0</v>
      </c>
      <c r="BJ76" s="324">
        <f>G76*H76</f>
        <v>0</v>
      </c>
      <c r="BK76" s="324" t="s">
        <v>814</v>
      </c>
      <c r="BL76" s="324">
        <v>722</v>
      </c>
    </row>
    <row r="77" spans="1:64" x14ac:dyDescent="0.2">
      <c r="A77" s="282"/>
      <c r="D77" s="327" t="s">
        <v>354</v>
      </c>
      <c r="E77" s="327"/>
      <c r="G77" s="328">
        <v>1</v>
      </c>
      <c r="H77" s="429"/>
      <c r="N77" s="329"/>
      <c r="O77" s="282"/>
    </row>
    <row r="78" spans="1:64" x14ac:dyDescent="0.2">
      <c r="A78" s="322" t="s">
        <v>917</v>
      </c>
      <c r="B78" s="323" t="s">
        <v>805</v>
      </c>
      <c r="C78" s="323" t="s">
        <v>918</v>
      </c>
      <c r="D78" s="285" t="s">
        <v>919</v>
      </c>
      <c r="E78" s="285"/>
      <c r="F78" s="323" t="s">
        <v>375</v>
      </c>
      <c r="G78" s="324">
        <v>123.5</v>
      </c>
      <c r="H78" s="428"/>
      <c r="I78" s="324">
        <f>G78*AO78</f>
        <v>0</v>
      </c>
      <c r="J78" s="324">
        <f>G78*AP78</f>
        <v>0</v>
      </c>
      <c r="K78" s="324">
        <f>G78*H78</f>
        <v>0</v>
      </c>
      <c r="L78" s="324">
        <v>3.0000000000000001E-5</v>
      </c>
      <c r="M78" s="324">
        <f>G78*L78</f>
        <v>3.705E-3</v>
      </c>
      <c r="N78" s="325" t="s">
        <v>809</v>
      </c>
      <c r="O78" s="282"/>
      <c r="Z78" s="324">
        <f>IF(AQ78="5",BJ78,0)</f>
        <v>0</v>
      </c>
      <c r="AB78" s="324">
        <f>IF(AQ78="1",BH78,0)</f>
        <v>0</v>
      </c>
      <c r="AC78" s="324">
        <f>IF(AQ78="1",BI78,0)</f>
        <v>0</v>
      </c>
      <c r="AD78" s="324">
        <f>IF(AQ78="7",BH78,0)</f>
        <v>0</v>
      </c>
      <c r="AE78" s="324">
        <f>IF(AQ78="7",BI78,0)</f>
        <v>0</v>
      </c>
      <c r="AF78" s="324">
        <f>IF(AQ78="2",BH78,0)</f>
        <v>0</v>
      </c>
      <c r="AG78" s="324">
        <f>IF(AQ78="2",BI78,0)</f>
        <v>0</v>
      </c>
      <c r="AH78" s="324">
        <f>IF(AQ78="0",BJ78,0)</f>
        <v>0</v>
      </c>
      <c r="AI78" s="299" t="s">
        <v>805</v>
      </c>
      <c r="AJ78" s="324">
        <f>IF(AN78=0,K78,0)</f>
        <v>0</v>
      </c>
      <c r="AK78" s="324">
        <f>IF(AN78=15,K78,0)</f>
        <v>0</v>
      </c>
      <c r="AL78" s="324">
        <f>IF(AN78=21,K78,0)</f>
        <v>0</v>
      </c>
      <c r="AN78" s="324">
        <v>21</v>
      </c>
      <c r="AO78" s="324">
        <f>H78*0.268100358422939</f>
        <v>0</v>
      </c>
      <c r="AP78" s="324">
        <f>H78*(1-0.268100358422939)</f>
        <v>0</v>
      </c>
      <c r="AQ78" s="326" t="s">
        <v>810</v>
      </c>
      <c r="AV78" s="324">
        <f>AW78+AX78</f>
        <v>0</v>
      </c>
      <c r="AW78" s="324">
        <f>G78*AO78</f>
        <v>0</v>
      </c>
      <c r="AX78" s="324">
        <f>G78*AP78</f>
        <v>0</v>
      </c>
      <c r="AY78" s="326" t="s">
        <v>879</v>
      </c>
      <c r="AZ78" s="326" t="s">
        <v>821</v>
      </c>
      <c r="BA78" s="299" t="s">
        <v>813</v>
      </c>
      <c r="BC78" s="324">
        <f>AW78+AX78</f>
        <v>0</v>
      </c>
      <c r="BD78" s="324">
        <f>H78/(100-BE78)*100</f>
        <v>0</v>
      </c>
      <c r="BE78" s="324">
        <v>0</v>
      </c>
      <c r="BF78" s="324">
        <f>M78</f>
        <v>3.705E-3</v>
      </c>
      <c r="BH78" s="324">
        <f>G78*AO78</f>
        <v>0</v>
      </c>
      <c r="BI78" s="324">
        <f>G78*AP78</f>
        <v>0</v>
      </c>
      <c r="BJ78" s="324">
        <f>G78*H78</f>
        <v>0</v>
      </c>
      <c r="BK78" s="324" t="s">
        <v>814</v>
      </c>
      <c r="BL78" s="324">
        <v>722</v>
      </c>
    </row>
    <row r="79" spans="1:64" ht="14.65" customHeight="1" x14ac:dyDescent="0.2">
      <c r="A79" s="282"/>
      <c r="D79" s="330" t="s">
        <v>920</v>
      </c>
      <c r="E79" s="330"/>
      <c r="F79" s="330"/>
      <c r="G79" s="330"/>
      <c r="H79" s="431"/>
      <c r="I79" s="330"/>
      <c r="J79" s="330"/>
      <c r="K79" s="330"/>
      <c r="L79" s="330"/>
      <c r="M79" s="330"/>
      <c r="N79" s="330"/>
      <c r="O79" s="331"/>
    </row>
    <row r="80" spans="1:64" x14ac:dyDescent="0.2">
      <c r="A80" s="282"/>
      <c r="D80" s="327" t="s">
        <v>921</v>
      </c>
      <c r="E80" s="327"/>
      <c r="G80" s="328">
        <v>123.5</v>
      </c>
      <c r="H80" s="429"/>
      <c r="N80" s="329"/>
      <c r="O80" s="282"/>
    </row>
    <row r="81" spans="1:64" x14ac:dyDescent="0.2">
      <c r="A81" s="322" t="s">
        <v>922</v>
      </c>
      <c r="B81" s="323" t="s">
        <v>805</v>
      </c>
      <c r="C81" s="323" t="s">
        <v>923</v>
      </c>
      <c r="D81" s="285" t="s">
        <v>919</v>
      </c>
      <c r="E81" s="285"/>
      <c r="F81" s="323" t="s">
        <v>375</v>
      </c>
      <c r="G81" s="324">
        <v>31.8</v>
      </c>
      <c r="H81" s="428"/>
      <c r="I81" s="324">
        <f>G81*AO81</f>
        <v>0</v>
      </c>
      <c r="J81" s="324">
        <f>G81*AP81</f>
        <v>0</v>
      </c>
      <c r="K81" s="324">
        <f>G81*H81</f>
        <v>0</v>
      </c>
      <c r="L81" s="324">
        <v>6.0000000000000002E-5</v>
      </c>
      <c r="M81" s="324">
        <f>G81*L81</f>
        <v>1.9080000000000002E-3</v>
      </c>
      <c r="N81" s="325" t="s">
        <v>809</v>
      </c>
      <c r="O81" s="282"/>
      <c r="Z81" s="324">
        <f>IF(AQ81="5",BJ81,0)</f>
        <v>0</v>
      </c>
      <c r="AB81" s="324">
        <f>IF(AQ81="1",BH81,0)</f>
        <v>0</v>
      </c>
      <c r="AC81" s="324">
        <f>IF(AQ81="1",BI81,0)</f>
        <v>0</v>
      </c>
      <c r="AD81" s="324">
        <f>IF(AQ81="7",BH81,0)</f>
        <v>0</v>
      </c>
      <c r="AE81" s="324">
        <f>IF(AQ81="7",BI81,0)</f>
        <v>0</v>
      </c>
      <c r="AF81" s="324">
        <f>IF(AQ81="2",BH81,0)</f>
        <v>0</v>
      </c>
      <c r="AG81" s="324">
        <f>IF(AQ81="2",BI81,0)</f>
        <v>0</v>
      </c>
      <c r="AH81" s="324">
        <f>IF(AQ81="0",BJ81,0)</f>
        <v>0</v>
      </c>
      <c r="AI81" s="299" t="s">
        <v>805</v>
      </c>
      <c r="AJ81" s="324">
        <f>IF(AN81=0,K81,0)</f>
        <v>0</v>
      </c>
      <c r="AK81" s="324">
        <f>IF(AN81=15,K81,0)</f>
        <v>0</v>
      </c>
      <c r="AL81" s="324">
        <f>IF(AN81=21,K81,0)</f>
        <v>0</v>
      </c>
      <c r="AN81" s="324">
        <v>21</v>
      </c>
      <c r="AO81" s="324">
        <f>H81*0.282903981264637</f>
        <v>0</v>
      </c>
      <c r="AP81" s="324">
        <f>H81*(1-0.282903981264637)</f>
        <v>0</v>
      </c>
      <c r="AQ81" s="326" t="s">
        <v>810</v>
      </c>
      <c r="AV81" s="324">
        <f>AW81+AX81</f>
        <v>0</v>
      </c>
      <c r="AW81" s="324">
        <f>G81*AO81</f>
        <v>0</v>
      </c>
      <c r="AX81" s="324">
        <f>G81*AP81</f>
        <v>0</v>
      </c>
      <c r="AY81" s="326" t="s">
        <v>879</v>
      </c>
      <c r="AZ81" s="326" t="s">
        <v>821</v>
      </c>
      <c r="BA81" s="299" t="s">
        <v>813</v>
      </c>
      <c r="BC81" s="324">
        <f>AW81+AX81</f>
        <v>0</v>
      </c>
      <c r="BD81" s="324">
        <f>H81/(100-BE81)*100</f>
        <v>0</v>
      </c>
      <c r="BE81" s="324">
        <v>0</v>
      </c>
      <c r="BF81" s="324">
        <f>M81</f>
        <v>1.9080000000000002E-3</v>
      </c>
      <c r="BH81" s="324">
        <f>G81*AO81</f>
        <v>0</v>
      </c>
      <c r="BI81" s="324">
        <f>G81*AP81</f>
        <v>0</v>
      </c>
      <c r="BJ81" s="324">
        <f>G81*H81</f>
        <v>0</v>
      </c>
      <c r="BK81" s="324" t="s">
        <v>814</v>
      </c>
      <c r="BL81" s="324">
        <v>722</v>
      </c>
    </row>
    <row r="82" spans="1:64" ht="14.65" customHeight="1" x14ac:dyDescent="0.2">
      <c r="A82" s="282"/>
      <c r="D82" s="330" t="s">
        <v>924</v>
      </c>
      <c r="E82" s="330"/>
      <c r="F82" s="330"/>
      <c r="G82" s="330"/>
      <c r="H82" s="431"/>
      <c r="I82" s="330"/>
      <c r="J82" s="330"/>
      <c r="K82" s="330"/>
      <c r="L82" s="330"/>
      <c r="M82" s="330"/>
      <c r="N82" s="330"/>
      <c r="O82" s="331"/>
    </row>
    <row r="83" spans="1:64" x14ac:dyDescent="0.2">
      <c r="A83" s="282"/>
      <c r="D83" s="327" t="s">
        <v>925</v>
      </c>
      <c r="E83" s="327"/>
      <c r="G83" s="328">
        <v>31.8</v>
      </c>
      <c r="H83" s="429"/>
      <c r="N83" s="329"/>
      <c r="O83" s="282"/>
    </row>
    <row r="84" spans="1:64" x14ac:dyDescent="0.2">
      <c r="A84" s="322" t="s">
        <v>926</v>
      </c>
      <c r="B84" s="323" t="s">
        <v>805</v>
      </c>
      <c r="C84" s="323" t="s">
        <v>927</v>
      </c>
      <c r="D84" s="285" t="s">
        <v>928</v>
      </c>
      <c r="E84" s="285"/>
      <c r="F84" s="323" t="s">
        <v>375</v>
      </c>
      <c r="G84" s="324">
        <v>194.1</v>
      </c>
      <c r="H84" s="428"/>
      <c r="I84" s="324">
        <f>G84*AO84</f>
        <v>0</v>
      </c>
      <c r="J84" s="324">
        <f>G84*AP84</f>
        <v>0</v>
      </c>
      <c r="K84" s="324">
        <f>G84*H84</f>
        <v>0</v>
      </c>
      <c r="L84" s="324">
        <v>0</v>
      </c>
      <c r="M84" s="324">
        <f>G84*L84</f>
        <v>0</v>
      </c>
      <c r="N84" s="325" t="s">
        <v>809</v>
      </c>
      <c r="O84" s="282"/>
      <c r="Z84" s="324">
        <f>IF(AQ84="5",BJ84,0)</f>
        <v>0</v>
      </c>
      <c r="AB84" s="324">
        <f>IF(AQ84="1",BH84,0)</f>
        <v>0</v>
      </c>
      <c r="AC84" s="324">
        <f>IF(AQ84="1",BI84,0)</f>
        <v>0</v>
      </c>
      <c r="AD84" s="324">
        <f>IF(AQ84="7",BH84,0)</f>
        <v>0</v>
      </c>
      <c r="AE84" s="324">
        <f>IF(AQ84="7",BI84,0)</f>
        <v>0</v>
      </c>
      <c r="AF84" s="324">
        <f>IF(AQ84="2",BH84,0)</f>
        <v>0</v>
      </c>
      <c r="AG84" s="324">
        <f>IF(AQ84="2",BI84,0)</f>
        <v>0</v>
      </c>
      <c r="AH84" s="324">
        <f>IF(AQ84="0",BJ84,0)</f>
        <v>0</v>
      </c>
      <c r="AI84" s="299" t="s">
        <v>805</v>
      </c>
      <c r="AJ84" s="324">
        <f>IF(AN84=0,K84,0)</f>
        <v>0</v>
      </c>
      <c r="AK84" s="324">
        <f>IF(AN84=15,K84,0)</f>
        <v>0</v>
      </c>
      <c r="AL84" s="324">
        <f>IF(AN84=21,K84,0)</f>
        <v>0</v>
      </c>
      <c r="AN84" s="324">
        <v>21</v>
      </c>
      <c r="AO84" s="324">
        <f>H84*0</f>
        <v>0</v>
      </c>
      <c r="AP84" s="324">
        <f>H84*(1-0)</f>
        <v>0</v>
      </c>
      <c r="AQ84" s="326" t="s">
        <v>810</v>
      </c>
      <c r="AV84" s="324">
        <f>AW84+AX84</f>
        <v>0</v>
      </c>
      <c r="AW84" s="324">
        <f>G84*AO84</f>
        <v>0</v>
      </c>
      <c r="AX84" s="324">
        <f>G84*AP84</f>
        <v>0</v>
      </c>
      <c r="AY84" s="326" t="s">
        <v>879</v>
      </c>
      <c r="AZ84" s="326" t="s">
        <v>821</v>
      </c>
      <c r="BA84" s="299" t="s">
        <v>813</v>
      </c>
      <c r="BC84" s="324">
        <f>AW84+AX84</f>
        <v>0</v>
      </c>
      <c r="BD84" s="324">
        <f>H84/(100-BE84)*100</f>
        <v>0</v>
      </c>
      <c r="BE84" s="324">
        <v>0</v>
      </c>
      <c r="BF84" s="324">
        <f>M84</f>
        <v>0</v>
      </c>
      <c r="BH84" s="324">
        <f>G84*AO84</f>
        <v>0</v>
      </c>
      <c r="BI84" s="324">
        <f>G84*AP84</f>
        <v>0</v>
      </c>
      <c r="BJ84" s="324">
        <f>G84*H84</f>
        <v>0</v>
      </c>
      <c r="BK84" s="324" t="s">
        <v>814</v>
      </c>
      <c r="BL84" s="324">
        <v>722</v>
      </c>
    </row>
    <row r="85" spans="1:64" ht="14.65" customHeight="1" x14ac:dyDescent="0.2">
      <c r="A85" s="282"/>
      <c r="D85" s="330" t="s">
        <v>929</v>
      </c>
      <c r="E85" s="330"/>
      <c r="F85" s="330"/>
      <c r="G85" s="330"/>
      <c r="H85" s="431"/>
      <c r="I85" s="330"/>
      <c r="J85" s="330"/>
      <c r="K85" s="330"/>
      <c r="L85" s="330"/>
      <c r="M85" s="330"/>
      <c r="N85" s="330"/>
      <c r="O85" s="331"/>
    </row>
    <row r="86" spans="1:64" x14ac:dyDescent="0.2">
      <c r="A86" s="282"/>
      <c r="D86" s="327" t="s">
        <v>930</v>
      </c>
      <c r="E86" s="327"/>
      <c r="G86" s="328">
        <v>194.1</v>
      </c>
      <c r="H86" s="429"/>
      <c r="N86" s="329"/>
      <c r="O86" s="282"/>
    </row>
    <row r="87" spans="1:64" x14ac:dyDescent="0.2">
      <c r="A87" s="322" t="s">
        <v>931</v>
      </c>
      <c r="B87" s="323" t="s">
        <v>805</v>
      </c>
      <c r="C87" s="323" t="s">
        <v>932</v>
      </c>
      <c r="D87" s="285" t="s">
        <v>933</v>
      </c>
      <c r="E87" s="285"/>
      <c r="F87" s="323" t="s">
        <v>375</v>
      </c>
      <c r="G87" s="324">
        <v>152.4</v>
      </c>
      <c r="H87" s="428"/>
      <c r="I87" s="324">
        <f>G87*AO87</f>
        <v>0</v>
      </c>
      <c r="J87" s="324">
        <f>G87*AP87</f>
        <v>0</v>
      </c>
      <c r="K87" s="324">
        <f>G87*H87</f>
        <v>0</v>
      </c>
      <c r="L87" s="324">
        <v>4.2000000000000002E-4</v>
      </c>
      <c r="M87" s="324">
        <f>G87*L87</f>
        <v>6.4008000000000009E-2</v>
      </c>
      <c r="N87" s="325" t="s">
        <v>809</v>
      </c>
      <c r="O87" s="282"/>
      <c r="Z87" s="324">
        <f>IF(AQ87="5",BJ87,0)</f>
        <v>0</v>
      </c>
      <c r="AB87" s="324">
        <f>IF(AQ87="1",BH87,0)</f>
        <v>0</v>
      </c>
      <c r="AC87" s="324">
        <f>IF(AQ87="1",BI87,0)</f>
        <v>0</v>
      </c>
      <c r="AD87" s="324">
        <f>IF(AQ87="7",BH87,0)</f>
        <v>0</v>
      </c>
      <c r="AE87" s="324">
        <f>IF(AQ87="7",BI87,0)</f>
        <v>0</v>
      </c>
      <c r="AF87" s="324">
        <f>IF(AQ87="2",BH87,0)</f>
        <v>0</v>
      </c>
      <c r="AG87" s="324">
        <f>IF(AQ87="2",BI87,0)</f>
        <v>0</v>
      </c>
      <c r="AH87" s="324">
        <f>IF(AQ87="0",BJ87,0)</f>
        <v>0</v>
      </c>
      <c r="AI87" s="299" t="s">
        <v>805</v>
      </c>
      <c r="AJ87" s="324">
        <f>IF(AN87=0,K87,0)</f>
        <v>0</v>
      </c>
      <c r="AK87" s="324">
        <f>IF(AN87=15,K87,0)</f>
        <v>0</v>
      </c>
      <c r="AL87" s="324">
        <f>IF(AN87=21,K87,0)</f>
        <v>0</v>
      </c>
      <c r="AN87" s="324">
        <v>21</v>
      </c>
      <c r="AO87" s="324">
        <f>H87*1</f>
        <v>0</v>
      </c>
      <c r="AP87" s="324">
        <f>H87*(1-1)</f>
        <v>0</v>
      </c>
      <c r="AQ87" s="326" t="s">
        <v>810</v>
      </c>
      <c r="AV87" s="324">
        <f>AW87+AX87</f>
        <v>0</v>
      </c>
      <c r="AW87" s="324">
        <f>G87*AO87</f>
        <v>0</v>
      </c>
      <c r="AX87" s="324">
        <f>G87*AP87</f>
        <v>0</v>
      </c>
      <c r="AY87" s="326" t="s">
        <v>879</v>
      </c>
      <c r="AZ87" s="326" t="s">
        <v>821</v>
      </c>
      <c r="BA87" s="299" t="s">
        <v>813</v>
      </c>
      <c r="BC87" s="324">
        <f>AW87+AX87</f>
        <v>0</v>
      </c>
      <c r="BD87" s="324">
        <f>H87/(100-BE87)*100</f>
        <v>0</v>
      </c>
      <c r="BE87" s="324">
        <v>0</v>
      </c>
      <c r="BF87" s="324">
        <f>M87</f>
        <v>6.4008000000000009E-2</v>
      </c>
      <c r="BH87" s="324">
        <f>G87*AO87</f>
        <v>0</v>
      </c>
      <c r="BI87" s="324">
        <f>G87*AP87</f>
        <v>0</v>
      </c>
      <c r="BJ87" s="324">
        <f>G87*H87</f>
        <v>0</v>
      </c>
      <c r="BK87" s="324" t="s">
        <v>934</v>
      </c>
      <c r="BL87" s="324">
        <v>722</v>
      </c>
    </row>
    <row r="88" spans="1:64" x14ac:dyDescent="0.2">
      <c r="A88" s="282"/>
      <c r="D88" s="327" t="s">
        <v>935</v>
      </c>
      <c r="E88" s="327"/>
      <c r="G88" s="328">
        <v>152.4</v>
      </c>
      <c r="H88" s="429"/>
      <c r="N88" s="329"/>
      <c r="O88" s="282"/>
    </row>
    <row r="89" spans="1:64" x14ac:dyDescent="0.2">
      <c r="A89" s="322" t="s">
        <v>936</v>
      </c>
      <c r="B89" s="323" t="s">
        <v>805</v>
      </c>
      <c r="C89" s="323" t="s">
        <v>937</v>
      </c>
      <c r="D89" s="285" t="s">
        <v>938</v>
      </c>
      <c r="E89" s="285"/>
      <c r="F89" s="323" t="s">
        <v>375</v>
      </c>
      <c r="G89" s="324">
        <v>42.2</v>
      </c>
      <c r="H89" s="428"/>
      <c r="I89" s="324">
        <f>G89*AO89</f>
        <v>0</v>
      </c>
      <c r="J89" s="324">
        <f>G89*AP89</f>
        <v>0</v>
      </c>
      <c r="K89" s="324">
        <f>G89*H89</f>
        <v>0</v>
      </c>
      <c r="L89" s="324">
        <v>4.8000000000000001E-4</v>
      </c>
      <c r="M89" s="324">
        <f>G89*L89</f>
        <v>2.0256000000000003E-2</v>
      </c>
      <c r="N89" s="325" t="s">
        <v>809</v>
      </c>
      <c r="O89" s="282"/>
      <c r="Z89" s="324">
        <f>IF(AQ89="5",BJ89,0)</f>
        <v>0</v>
      </c>
      <c r="AB89" s="324">
        <f>IF(AQ89="1",BH89,0)</f>
        <v>0</v>
      </c>
      <c r="AC89" s="324">
        <f>IF(AQ89="1",BI89,0)</f>
        <v>0</v>
      </c>
      <c r="AD89" s="324">
        <f>IF(AQ89="7",BH89,0)</f>
        <v>0</v>
      </c>
      <c r="AE89" s="324">
        <f>IF(AQ89="7",BI89,0)</f>
        <v>0</v>
      </c>
      <c r="AF89" s="324">
        <f>IF(AQ89="2",BH89,0)</f>
        <v>0</v>
      </c>
      <c r="AG89" s="324">
        <f>IF(AQ89="2",BI89,0)</f>
        <v>0</v>
      </c>
      <c r="AH89" s="324">
        <f>IF(AQ89="0",BJ89,0)</f>
        <v>0</v>
      </c>
      <c r="AI89" s="299" t="s">
        <v>805</v>
      </c>
      <c r="AJ89" s="324">
        <f>IF(AN89=0,K89,0)</f>
        <v>0</v>
      </c>
      <c r="AK89" s="324">
        <f>IF(AN89=15,K89,0)</f>
        <v>0</v>
      </c>
      <c r="AL89" s="324">
        <f>IF(AN89=21,K89,0)</f>
        <v>0</v>
      </c>
      <c r="AN89" s="324">
        <v>21</v>
      </c>
      <c r="AO89" s="324">
        <f>H89*1</f>
        <v>0</v>
      </c>
      <c r="AP89" s="324">
        <f>H89*(1-1)</f>
        <v>0</v>
      </c>
      <c r="AQ89" s="326" t="s">
        <v>810</v>
      </c>
      <c r="AV89" s="324">
        <f>AW89+AX89</f>
        <v>0</v>
      </c>
      <c r="AW89" s="324">
        <f>G89*AO89</f>
        <v>0</v>
      </c>
      <c r="AX89" s="324">
        <f>G89*AP89</f>
        <v>0</v>
      </c>
      <c r="AY89" s="326" t="s">
        <v>879</v>
      </c>
      <c r="AZ89" s="326" t="s">
        <v>821</v>
      </c>
      <c r="BA89" s="299" t="s">
        <v>813</v>
      </c>
      <c r="BC89" s="324">
        <f>AW89+AX89</f>
        <v>0</v>
      </c>
      <c r="BD89" s="324">
        <f>H89/(100-BE89)*100</f>
        <v>0</v>
      </c>
      <c r="BE89" s="324">
        <v>0</v>
      </c>
      <c r="BF89" s="324">
        <f>M89</f>
        <v>2.0256000000000003E-2</v>
      </c>
      <c r="BH89" s="324">
        <f>G89*AO89</f>
        <v>0</v>
      </c>
      <c r="BI89" s="324">
        <f>G89*AP89</f>
        <v>0</v>
      </c>
      <c r="BJ89" s="324">
        <f>G89*H89</f>
        <v>0</v>
      </c>
      <c r="BK89" s="324" t="s">
        <v>934</v>
      </c>
      <c r="BL89" s="324">
        <v>722</v>
      </c>
    </row>
    <row r="90" spans="1:64" x14ac:dyDescent="0.2">
      <c r="A90" s="282"/>
      <c r="D90" s="327" t="s">
        <v>939</v>
      </c>
      <c r="E90" s="327"/>
      <c r="G90" s="328">
        <v>42.2</v>
      </c>
      <c r="H90" s="429"/>
      <c r="N90" s="329"/>
      <c r="O90" s="282"/>
    </row>
    <row r="91" spans="1:64" x14ac:dyDescent="0.2">
      <c r="A91" s="322" t="s">
        <v>940</v>
      </c>
      <c r="B91" s="323" t="s">
        <v>805</v>
      </c>
      <c r="C91" s="323" t="s">
        <v>941</v>
      </c>
      <c r="D91" s="285" t="s">
        <v>942</v>
      </c>
      <c r="E91" s="285"/>
      <c r="F91" s="323" t="s">
        <v>230</v>
      </c>
      <c r="G91" s="324">
        <v>6</v>
      </c>
      <c r="H91" s="428"/>
      <c r="I91" s="324">
        <f>G91*AO91</f>
        <v>0</v>
      </c>
      <c r="J91" s="324">
        <f>G91*AP91</f>
        <v>0</v>
      </c>
      <c r="K91" s="324">
        <f>G91*H91</f>
        <v>0</v>
      </c>
      <c r="L91" s="324">
        <v>2.0000000000000001E-4</v>
      </c>
      <c r="M91" s="324">
        <f>G91*L91</f>
        <v>1.2000000000000001E-3</v>
      </c>
      <c r="N91" s="325" t="s">
        <v>809</v>
      </c>
      <c r="O91" s="282"/>
      <c r="Z91" s="324">
        <f>IF(AQ91="5",BJ91,0)</f>
        <v>0</v>
      </c>
      <c r="AB91" s="324">
        <f>IF(AQ91="1",BH91,0)</f>
        <v>0</v>
      </c>
      <c r="AC91" s="324">
        <f>IF(AQ91="1",BI91,0)</f>
        <v>0</v>
      </c>
      <c r="AD91" s="324">
        <f>IF(AQ91="7",BH91,0)</f>
        <v>0</v>
      </c>
      <c r="AE91" s="324">
        <f>IF(AQ91="7",BI91,0)</f>
        <v>0</v>
      </c>
      <c r="AF91" s="324">
        <f>IF(AQ91="2",BH91,0)</f>
        <v>0</v>
      </c>
      <c r="AG91" s="324">
        <f>IF(AQ91="2",BI91,0)</f>
        <v>0</v>
      </c>
      <c r="AH91" s="324">
        <f>IF(AQ91="0",BJ91,0)</f>
        <v>0</v>
      </c>
      <c r="AI91" s="299" t="s">
        <v>805</v>
      </c>
      <c r="AJ91" s="324">
        <f>IF(AN91=0,K91,0)</f>
        <v>0</v>
      </c>
      <c r="AK91" s="324">
        <f>IF(AN91=15,K91,0)</f>
        <v>0</v>
      </c>
      <c r="AL91" s="324">
        <f>IF(AN91=21,K91,0)</f>
        <v>0</v>
      </c>
      <c r="AN91" s="324">
        <v>21</v>
      </c>
      <c r="AO91" s="324">
        <f>H91*0.657866242038217</f>
        <v>0</v>
      </c>
      <c r="AP91" s="324">
        <f>H91*(1-0.657866242038217)</f>
        <v>0</v>
      </c>
      <c r="AQ91" s="326" t="s">
        <v>810</v>
      </c>
      <c r="AV91" s="324">
        <f>AW91+AX91</f>
        <v>0</v>
      </c>
      <c r="AW91" s="324">
        <f>G91*AO91</f>
        <v>0</v>
      </c>
      <c r="AX91" s="324">
        <f>G91*AP91</f>
        <v>0</v>
      </c>
      <c r="AY91" s="326" t="s">
        <v>879</v>
      </c>
      <c r="AZ91" s="326" t="s">
        <v>821</v>
      </c>
      <c r="BA91" s="299" t="s">
        <v>813</v>
      </c>
      <c r="BC91" s="324">
        <f>AW91+AX91</f>
        <v>0</v>
      </c>
      <c r="BD91" s="324">
        <f>H91/(100-BE91)*100</f>
        <v>0</v>
      </c>
      <c r="BE91" s="324">
        <v>0</v>
      </c>
      <c r="BF91" s="324">
        <f>M91</f>
        <v>1.2000000000000001E-3</v>
      </c>
      <c r="BH91" s="324">
        <f>G91*AO91</f>
        <v>0</v>
      </c>
      <c r="BI91" s="324">
        <f>G91*AP91</f>
        <v>0</v>
      </c>
      <c r="BJ91" s="324">
        <f>G91*H91</f>
        <v>0</v>
      </c>
      <c r="BK91" s="324" t="s">
        <v>814</v>
      </c>
      <c r="BL91" s="324">
        <v>722</v>
      </c>
    </row>
    <row r="92" spans="1:64" x14ac:dyDescent="0.2">
      <c r="A92" s="282"/>
      <c r="D92" s="327" t="s">
        <v>232</v>
      </c>
      <c r="E92" s="327"/>
      <c r="G92" s="328">
        <v>6</v>
      </c>
      <c r="H92" s="429"/>
      <c r="N92" s="329"/>
      <c r="O92" s="282"/>
    </row>
    <row r="93" spans="1:64" x14ac:dyDescent="0.2">
      <c r="A93" s="322" t="s">
        <v>943</v>
      </c>
      <c r="B93" s="323" t="s">
        <v>805</v>
      </c>
      <c r="C93" s="323" t="s">
        <v>944</v>
      </c>
      <c r="D93" s="285" t="s">
        <v>945</v>
      </c>
      <c r="E93" s="285"/>
      <c r="F93" s="323" t="s">
        <v>230</v>
      </c>
      <c r="G93" s="324">
        <v>1</v>
      </c>
      <c r="H93" s="428"/>
      <c r="I93" s="324">
        <f>G93*AO93</f>
        <v>0</v>
      </c>
      <c r="J93" s="324">
        <f>G93*AP93</f>
        <v>0</v>
      </c>
      <c r="K93" s="324">
        <f>G93*H93</f>
        <v>0</v>
      </c>
      <c r="L93" s="324">
        <v>3.2000000000000003E-4</v>
      </c>
      <c r="M93" s="324">
        <f>G93*L93</f>
        <v>3.2000000000000003E-4</v>
      </c>
      <c r="N93" s="325" t="s">
        <v>809</v>
      </c>
      <c r="O93" s="282"/>
      <c r="Z93" s="324">
        <f>IF(AQ93="5",BJ93,0)</f>
        <v>0</v>
      </c>
      <c r="AB93" s="324">
        <f>IF(AQ93="1",BH93,0)</f>
        <v>0</v>
      </c>
      <c r="AC93" s="324">
        <f>IF(AQ93="1",BI93,0)</f>
        <v>0</v>
      </c>
      <c r="AD93" s="324">
        <f>IF(AQ93="7",BH93,0)</f>
        <v>0</v>
      </c>
      <c r="AE93" s="324">
        <f>IF(AQ93="7",BI93,0)</f>
        <v>0</v>
      </c>
      <c r="AF93" s="324">
        <f>IF(AQ93="2",BH93,0)</f>
        <v>0</v>
      </c>
      <c r="AG93" s="324">
        <f>IF(AQ93="2",BI93,0)</f>
        <v>0</v>
      </c>
      <c r="AH93" s="324">
        <f>IF(AQ93="0",BJ93,0)</f>
        <v>0</v>
      </c>
      <c r="AI93" s="299" t="s">
        <v>805</v>
      </c>
      <c r="AJ93" s="324">
        <f>IF(AN93=0,K93,0)</f>
        <v>0</v>
      </c>
      <c r="AK93" s="324">
        <f>IF(AN93=15,K93,0)</f>
        <v>0</v>
      </c>
      <c r="AL93" s="324">
        <f>IF(AN93=21,K93,0)</f>
        <v>0</v>
      </c>
      <c r="AN93" s="324">
        <v>21</v>
      </c>
      <c r="AO93" s="324">
        <f>H93*0.748</f>
        <v>0</v>
      </c>
      <c r="AP93" s="324">
        <f>H93*(1-0.748)</f>
        <v>0</v>
      </c>
      <c r="AQ93" s="326" t="s">
        <v>810</v>
      </c>
      <c r="AV93" s="324">
        <f>AW93+AX93</f>
        <v>0</v>
      </c>
      <c r="AW93" s="324">
        <f>G93*AO93</f>
        <v>0</v>
      </c>
      <c r="AX93" s="324">
        <f>G93*AP93</f>
        <v>0</v>
      </c>
      <c r="AY93" s="326" t="s">
        <v>879</v>
      </c>
      <c r="AZ93" s="326" t="s">
        <v>821</v>
      </c>
      <c r="BA93" s="299" t="s">
        <v>813</v>
      </c>
      <c r="BC93" s="324">
        <f>AW93+AX93</f>
        <v>0</v>
      </c>
      <c r="BD93" s="324">
        <f>H93/(100-BE93)*100</f>
        <v>0</v>
      </c>
      <c r="BE93" s="324">
        <v>0</v>
      </c>
      <c r="BF93" s="324">
        <f>M93</f>
        <v>3.2000000000000003E-4</v>
      </c>
      <c r="BH93" s="324">
        <f>G93*AO93</f>
        <v>0</v>
      </c>
      <c r="BI93" s="324">
        <f>G93*AP93</f>
        <v>0</v>
      </c>
      <c r="BJ93" s="324">
        <f>G93*H93</f>
        <v>0</v>
      </c>
      <c r="BK93" s="324" t="s">
        <v>814</v>
      </c>
      <c r="BL93" s="324">
        <v>722</v>
      </c>
    </row>
    <row r="94" spans="1:64" x14ac:dyDescent="0.2">
      <c r="A94" s="282"/>
      <c r="D94" s="327" t="s">
        <v>354</v>
      </c>
      <c r="E94" s="327"/>
      <c r="G94" s="328">
        <v>1</v>
      </c>
      <c r="H94" s="429"/>
      <c r="N94" s="329"/>
      <c r="O94" s="282"/>
    </row>
    <row r="95" spans="1:64" x14ac:dyDescent="0.2">
      <c r="A95" s="322" t="s">
        <v>946</v>
      </c>
      <c r="B95" s="323" t="s">
        <v>805</v>
      </c>
      <c r="C95" s="323" t="s">
        <v>947</v>
      </c>
      <c r="D95" s="285" t="s">
        <v>948</v>
      </c>
      <c r="E95" s="285"/>
      <c r="F95" s="323" t="s">
        <v>230</v>
      </c>
      <c r="G95" s="324">
        <v>20</v>
      </c>
      <c r="H95" s="428"/>
      <c r="I95" s="324">
        <f>G95*AO95</f>
        <v>0</v>
      </c>
      <c r="J95" s="324">
        <f>G95*AP95</f>
        <v>0</v>
      </c>
      <c r="K95" s="324">
        <f>G95*H95</f>
        <v>0</v>
      </c>
      <c r="L95" s="324">
        <v>1.3999999999999999E-4</v>
      </c>
      <c r="M95" s="324">
        <f>G95*L95</f>
        <v>2.7999999999999995E-3</v>
      </c>
      <c r="N95" s="325" t="s">
        <v>809</v>
      </c>
      <c r="O95" s="282"/>
      <c r="Z95" s="324">
        <f>IF(AQ95="5",BJ95,0)</f>
        <v>0</v>
      </c>
      <c r="AB95" s="324">
        <f>IF(AQ95="1",BH95,0)</f>
        <v>0</v>
      </c>
      <c r="AC95" s="324">
        <f>IF(AQ95="1",BI95,0)</f>
        <v>0</v>
      </c>
      <c r="AD95" s="324">
        <f>IF(AQ95="7",BH95,0)</f>
        <v>0</v>
      </c>
      <c r="AE95" s="324">
        <f>IF(AQ95="7",BI95,0)</f>
        <v>0</v>
      </c>
      <c r="AF95" s="324">
        <f>IF(AQ95="2",BH95,0)</f>
        <v>0</v>
      </c>
      <c r="AG95" s="324">
        <f>IF(AQ95="2",BI95,0)</f>
        <v>0</v>
      </c>
      <c r="AH95" s="324">
        <f>IF(AQ95="0",BJ95,0)</f>
        <v>0</v>
      </c>
      <c r="AI95" s="299" t="s">
        <v>805</v>
      </c>
      <c r="AJ95" s="324">
        <f>IF(AN95=0,K95,0)</f>
        <v>0</v>
      </c>
      <c r="AK95" s="324">
        <f>IF(AN95=15,K95,0)</f>
        <v>0</v>
      </c>
      <c r="AL95" s="324">
        <f>IF(AN95=21,K95,0)</f>
        <v>0</v>
      </c>
      <c r="AN95" s="324">
        <v>21</v>
      </c>
      <c r="AO95" s="324">
        <f>H95*0.637161016949153</f>
        <v>0</v>
      </c>
      <c r="AP95" s="324">
        <f>H95*(1-0.637161016949153)</f>
        <v>0</v>
      </c>
      <c r="AQ95" s="326" t="s">
        <v>810</v>
      </c>
      <c r="AV95" s="324">
        <f>AW95+AX95</f>
        <v>0</v>
      </c>
      <c r="AW95" s="324">
        <f>G95*AO95</f>
        <v>0</v>
      </c>
      <c r="AX95" s="324">
        <f>G95*AP95</f>
        <v>0</v>
      </c>
      <c r="AY95" s="326" t="s">
        <v>879</v>
      </c>
      <c r="AZ95" s="326" t="s">
        <v>821</v>
      </c>
      <c r="BA95" s="299" t="s">
        <v>813</v>
      </c>
      <c r="BC95" s="324">
        <f>AW95+AX95</f>
        <v>0</v>
      </c>
      <c r="BD95" s="324">
        <f>H95/(100-BE95)*100</f>
        <v>0</v>
      </c>
      <c r="BE95" s="324">
        <v>0</v>
      </c>
      <c r="BF95" s="324">
        <f>M95</f>
        <v>2.7999999999999995E-3</v>
      </c>
      <c r="BH95" s="324">
        <f>G95*AO95</f>
        <v>0</v>
      </c>
      <c r="BI95" s="324">
        <f>G95*AP95</f>
        <v>0</v>
      </c>
      <c r="BJ95" s="324">
        <f>G95*H95</f>
        <v>0</v>
      </c>
      <c r="BK95" s="324" t="s">
        <v>814</v>
      </c>
      <c r="BL95" s="324">
        <v>722</v>
      </c>
    </row>
    <row r="96" spans="1:64" x14ac:dyDescent="0.2">
      <c r="A96" s="282"/>
      <c r="D96" s="327" t="s">
        <v>886</v>
      </c>
      <c r="E96" s="327"/>
      <c r="G96" s="328">
        <v>20</v>
      </c>
      <c r="H96" s="429"/>
      <c r="N96" s="329"/>
      <c r="O96" s="282"/>
    </row>
    <row r="97" spans="1:64" x14ac:dyDescent="0.2">
      <c r="A97" s="322" t="s">
        <v>949</v>
      </c>
      <c r="B97" s="323" t="s">
        <v>805</v>
      </c>
      <c r="C97" s="323" t="s">
        <v>950</v>
      </c>
      <c r="D97" s="285" t="s">
        <v>951</v>
      </c>
      <c r="E97" s="285"/>
      <c r="F97" s="323" t="s">
        <v>230</v>
      </c>
      <c r="G97" s="324">
        <v>3</v>
      </c>
      <c r="H97" s="428"/>
      <c r="I97" s="324">
        <f>G97*AO97</f>
        <v>0</v>
      </c>
      <c r="J97" s="324">
        <f>G97*AP97</f>
        <v>0</v>
      </c>
      <c r="K97" s="324">
        <f>G97*H97</f>
        <v>0</v>
      </c>
      <c r="L97" s="324">
        <v>8.0000000000000004E-4</v>
      </c>
      <c r="M97" s="324">
        <f>G97*L97</f>
        <v>2.4000000000000002E-3</v>
      </c>
      <c r="N97" s="325" t="s">
        <v>809</v>
      </c>
      <c r="O97" s="282"/>
      <c r="Z97" s="324">
        <f>IF(AQ97="5",BJ97,0)</f>
        <v>0</v>
      </c>
      <c r="AB97" s="324">
        <f>IF(AQ97="1",BH97,0)</f>
        <v>0</v>
      </c>
      <c r="AC97" s="324">
        <f>IF(AQ97="1",BI97,0)</f>
        <v>0</v>
      </c>
      <c r="AD97" s="324">
        <f>IF(AQ97="7",BH97,0)</f>
        <v>0</v>
      </c>
      <c r="AE97" s="324">
        <f>IF(AQ97="7",BI97,0)</f>
        <v>0</v>
      </c>
      <c r="AF97" s="324">
        <f>IF(AQ97="2",BH97,0)</f>
        <v>0</v>
      </c>
      <c r="AG97" s="324">
        <f>IF(AQ97="2",BI97,0)</f>
        <v>0</v>
      </c>
      <c r="AH97" s="324">
        <f>IF(AQ97="0",BJ97,0)</f>
        <v>0</v>
      </c>
      <c r="AI97" s="299" t="s">
        <v>805</v>
      </c>
      <c r="AJ97" s="324">
        <f>IF(AN97=0,K97,0)</f>
        <v>0</v>
      </c>
      <c r="AK97" s="324">
        <f>IF(AN97=15,K97,0)</f>
        <v>0</v>
      </c>
      <c r="AL97" s="324">
        <f>IF(AN97=21,K97,0)</f>
        <v>0</v>
      </c>
      <c r="AN97" s="324">
        <v>21</v>
      </c>
      <c r="AO97" s="324">
        <f>H97*0.814879930082011</f>
        <v>0</v>
      </c>
      <c r="AP97" s="324">
        <f>H97*(1-0.814879930082011)</f>
        <v>0</v>
      </c>
      <c r="AQ97" s="326" t="s">
        <v>810</v>
      </c>
      <c r="AV97" s="324">
        <f>AW97+AX97</f>
        <v>0</v>
      </c>
      <c r="AW97" s="324">
        <f>G97*AO97</f>
        <v>0</v>
      </c>
      <c r="AX97" s="324">
        <f>G97*AP97</f>
        <v>0</v>
      </c>
      <c r="AY97" s="326" t="s">
        <v>879</v>
      </c>
      <c r="AZ97" s="326" t="s">
        <v>821</v>
      </c>
      <c r="BA97" s="299" t="s">
        <v>813</v>
      </c>
      <c r="BC97" s="324">
        <f>AW97+AX97</f>
        <v>0</v>
      </c>
      <c r="BD97" s="324">
        <f>H97/(100-BE97)*100</f>
        <v>0</v>
      </c>
      <c r="BE97" s="324">
        <v>0</v>
      </c>
      <c r="BF97" s="324">
        <f>M97</f>
        <v>2.4000000000000002E-3</v>
      </c>
      <c r="BH97" s="324">
        <f>G97*AO97</f>
        <v>0</v>
      </c>
      <c r="BI97" s="324">
        <f>G97*AP97</f>
        <v>0</v>
      </c>
      <c r="BJ97" s="324">
        <f>G97*H97</f>
        <v>0</v>
      </c>
      <c r="BK97" s="324" t="s">
        <v>814</v>
      </c>
      <c r="BL97" s="324">
        <v>722</v>
      </c>
    </row>
    <row r="98" spans="1:64" x14ac:dyDescent="0.2">
      <c r="A98" s="282"/>
      <c r="D98" s="327" t="s">
        <v>63</v>
      </c>
      <c r="E98" s="327"/>
      <c r="G98" s="328">
        <v>3</v>
      </c>
      <c r="H98" s="429"/>
      <c r="N98" s="329"/>
      <c r="O98" s="282"/>
    </row>
    <row r="99" spans="1:64" x14ac:dyDescent="0.2">
      <c r="A99" s="322" t="s">
        <v>952</v>
      </c>
      <c r="B99" s="323" t="s">
        <v>805</v>
      </c>
      <c r="C99" s="323" t="s">
        <v>953</v>
      </c>
      <c r="D99" s="285" t="s">
        <v>954</v>
      </c>
      <c r="E99" s="285"/>
      <c r="F99" s="323" t="s">
        <v>230</v>
      </c>
      <c r="G99" s="324">
        <v>3</v>
      </c>
      <c r="H99" s="428"/>
      <c r="I99" s="324">
        <f>G99*AO99</f>
        <v>0</v>
      </c>
      <c r="J99" s="324">
        <f>G99*AP99</f>
        <v>0</v>
      </c>
      <c r="K99" s="324">
        <f>G99*H99</f>
        <v>0</v>
      </c>
      <c r="L99" s="324">
        <v>8.4999999999999995E-4</v>
      </c>
      <c r="M99" s="324">
        <f>G99*L99</f>
        <v>2.5499999999999997E-3</v>
      </c>
      <c r="N99" s="325" t="s">
        <v>809</v>
      </c>
      <c r="O99" s="282"/>
      <c r="Z99" s="324">
        <f>IF(AQ99="5",BJ99,0)</f>
        <v>0</v>
      </c>
      <c r="AB99" s="324">
        <f>IF(AQ99="1",BH99,0)</f>
        <v>0</v>
      </c>
      <c r="AC99" s="324">
        <f>IF(AQ99="1",BI99,0)</f>
        <v>0</v>
      </c>
      <c r="AD99" s="324">
        <f>IF(AQ99="7",BH99,0)</f>
        <v>0</v>
      </c>
      <c r="AE99" s="324">
        <f>IF(AQ99="7",BI99,0)</f>
        <v>0</v>
      </c>
      <c r="AF99" s="324">
        <f>IF(AQ99="2",BH99,0)</f>
        <v>0</v>
      </c>
      <c r="AG99" s="324">
        <f>IF(AQ99="2",BI99,0)</f>
        <v>0</v>
      </c>
      <c r="AH99" s="324">
        <f>IF(AQ99="0",BJ99,0)</f>
        <v>0</v>
      </c>
      <c r="AI99" s="299" t="s">
        <v>805</v>
      </c>
      <c r="AJ99" s="324">
        <f>IF(AN99=0,K99,0)</f>
        <v>0</v>
      </c>
      <c r="AK99" s="324">
        <f>IF(AN99=15,K99,0)</f>
        <v>0</v>
      </c>
      <c r="AL99" s="324">
        <f>IF(AN99=21,K99,0)</f>
        <v>0</v>
      </c>
      <c r="AN99" s="324">
        <v>21</v>
      </c>
      <c r="AO99" s="324">
        <f>H99*0.95137421919364</f>
        <v>0</v>
      </c>
      <c r="AP99" s="324">
        <f>H99*(1-0.95137421919364)</f>
        <v>0</v>
      </c>
      <c r="AQ99" s="326" t="s">
        <v>810</v>
      </c>
      <c r="AV99" s="324">
        <f>AW99+AX99</f>
        <v>0</v>
      </c>
      <c r="AW99" s="324">
        <f>G99*AO99</f>
        <v>0</v>
      </c>
      <c r="AX99" s="324">
        <f>G99*AP99</f>
        <v>0</v>
      </c>
      <c r="AY99" s="326" t="s">
        <v>879</v>
      </c>
      <c r="AZ99" s="326" t="s">
        <v>821</v>
      </c>
      <c r="BA99" s="299" t="s">
        <v>813</v>
      </c>
      <c r="BC99" s="324">
        <f>AW99+AX99</f>
        <v>0</v>
      </c>
      <c r="BD99" s="324">
        <f>H99/(100-BE99)*100</f>
        <v>0</v>
      </c>
      <c r="BE99" s="324">
        <v>0</v>
      </c>
      <c r="BF99" s="324">
        <f>M99</f>
        <v>2.5499999999999997E-3</v>
      </c>
      <c r="BH99" s="324">
        <f>G99*AO99</f>
        <v>0</v>
      </c>
      <c r="BI99" s="324">
        <f>G99*AP99</f>
        <v>0</v>
      </c>
      <c r="BJ99" s="324">
        <f>G99*H99</f>
        <v>0</v>
      </c>
      <c r="BK99" s="324" t="s">
        <v>814</v>
      </c>
      <c r="BL99" s="324">
        <v>722</v>
      </c>
    </row>
    <row r="100" spans="1:64" x14ac:dyDescent="0.2">
      <c r="A100" s="282"/>
      <c r="D100" s="327" t="s">
        <v>63</v>
      </c>
      <c r="E100" s="327"/>
      <c r="G100" s="328">
        <v>3</v>
      </c>
      <c r="H100" s="429"/>
      <c r="N100" s="329"/>
      <c r="O100" s="282"/>
    </row>
    <row r="101" spans="1:64" x14ac:dyDescent="0.2">
      <c r="A101" s="322" t="s">
        <v>955</v>
      </c>
      <c r="B101" s="323" t="s">
        <v>805</v>
      </c>
      <c r="C101" s="323" t="s">
        <v>956</v>
      </c>
      <c r="D101" s="285" t="s">
        <v>957</v>
      </c>
      <c r="E101" s="285"/>
      <c r="F101" s="323" t="s">
        <v>230</v>
      </c>
      <c r="G101" s="324">
        <v>3</v>
      </c>
      <c r="H101" s="428"/>
      <c r="I101" s="324">
        <f>G101*AO101</f>
        <v>0</v>
      </c>
      <c r="J101" s="324">
        <f>G101*AP101</f>
        <v>0</v>
      </c>
      <c r="K101" s="324">
        <f>G101*H101</f>
        <v>0</v>
      </c>
      <c r="L101" s="324">
        <v>4.0000000000000002E-4</v>
      </c>
      <c r="M101" s="324">
        <f>G101*L101</f>
        <v>1.2000000000000001E-3</v>
      </c>
      <c r="N101" s="325" t="s">
        <v>809</v>
      </c>
      <c r="O101" s="282"/>
      <c r="Z101" s="324">
        <f>IF(AQ101="5",BJ101,0)</f>
        <v>0</v>
      </c>
      <c r="AB101" s="324">
        <f>IF(AQ101="1",BH101,0)</f>
        <v>0</v>
      </c>
      <c r="AC101" s="324">
        <f>IF(AQ101="1",BI101,0)</f>
        <v>0</v>
      </c>
      <c r="AD101" s="324">
        <f>IF(AQ101="7",BH101,0)</f>
        <v>0</v>
      </c>
      <c r="AE101" s="324">
        <f>IF(AQ101="7",BI101,0)</f>
        <v>0</v>
      </c>
      <c r="AF101" s="324">
        <f>IF(AQ101="2",BH101,0)</f>
        <v>0</v>
      </c>
      <c r="AG101" s="324">
        <f>IF(AQ101="2",BI101,0)</f>
        <v>0</v>
      </c>
      <c r="AH101" s="324">
        <f>IF(AQ101="0",BJ101,0)</f>
        <v>0</v>
      </c>
      <c r="AI101" s="299" t="s">
        <v>805</v>
      </c>
      <c r="AJ101" s="324">
        <f>IF(AN101=0,K101,0)</f>
        <v>0</v>
      </c>
      <c r="AK101" s="324">
        <f>IF(AN101=15,K101,0)</f>
        <v>0</v>
      </c>
      <c r="AL101" s="324">
        <f>IF(AN101=21,K101,0)</f>
        <v>0</v>
      </c>
      <c r="AN101" s="324">
        <v>21</v>
      </c>
      <c r="AO101" s="324">
        <f>H101*0.708070652173913</f>
        <v>0</v>
      </c>
      <c r="AP101" s="324">
        <f>H101*(1-0.708070652173913)</f>
        <v>0</v>
      </c>
      <c r="AQ101" s="326" t="s">
        <v>810</v>
      </c>
      <c r="AV101" s="324">
        <f>AW101+AX101</f>
        <v>0</v>
      </c>
      <c r="AW101" s="324">
        <f>G101*AO101</f>
        <v>0</v>
      </c>
      <c r="AX101" s="324">
        <f>G101*AP101</f>
        <v>0</v>
      </c>
      <c r="AY101" s="326" t="s">
        <v>879</v>
      </c>
      <c r="AZ101" s="326" t="s">
        <v>821</v>
      </c>
      <c r="BA101" s="299" t="s">
        <v>813</v>
      </c>
      <c r="BC101" s="324">
        <f>AW101+AX101</f>
        <v>0</v>
      </c>
      <c r="BD101" s="324">
        <f>H101/(100-BE101)*100</f>
        <v>0</v>
      </c>
      <c r="BE101" s="324">
        <v>0</v>
      </c>
      <c r="BF101" s="324">
        <f>M101</f>
        <v>1.2000000000000001E-3</v>
      </c>
      <c r="BH101" s="324">
        <f>G101*AO101</f>
        <v>0</v>
      </c>
      <c r="BI101" s="324">
        <f>G101*AP101</f>
        <v>0</v>
      </c>
      <c r="BJ101" s="324">
        <f>G101*H101</f>
        <v>0</v>
      </c>
      <c r="BK101" s="324" t="s">
        <v>814</v>
      </c>
      <c r="BL101" s="324">
        <v>722</v>
      </c>
    </row>
    <row r="102" spans="1:64" x14ac:dyDescent="0.2">
      <c r="A102" s="282"/>
      <c r="D102" s="327" t="s">
        <v>63</v>
      </c>
      <c r="E102" s="327"/>
      <c r="G102" s="328">
        <v>3</v>
      </c>
      <c r="H102" s="429"/>
      <c r="N102" s="329"/>
      <c r="O102" s="282"/>
    </row>
    <row r="103" spans="1:64" x14ac:dyDescent="0.2">
      <c r="A103" s="322" t="s">
        <v>958</v>
      </c>
      <c r="B103" s="323" t="s">
        <v>805</v>
      </c>
      <c r="C103" s="323" t="s">
        <v>959</v>
      </c>
      <c r="D103" s="285" t="s">
        <v>960</v>
      </c>
      <c r="E103" s="285"/>
      <c r="F103" s="323" t="s">
        <v>375</v>
      </c>
      <c r="G103" s="324">
        <v>37.299999999999997</v>
      </c>
      <c r="H103" s="428"/>
      <c r="I103" s="324">
        <f>G103*AO103</f>
        <v>0</v>
      </c>
      <c r="J103" s="324">
        <f>G103*AP103</f>
        <v>0</v>
      </c>
      <c r="K103" s="324">
        <f>G103*H103</f>
        <v>0</v>
      </c>
      <c r="L103" s="324">
        <v>2.2000000000000001E-4</v>
      </c>
      <c r="M103" s="324">
        <f>G103*L103</f>
        <v>8.2059999999999998E-3</v>
      </c>
      <c r="N103" s="325" t="s">
        <v>809</v>
      </c>
      <c r="O103" s="282"/>
      <c r="Z103" s="324">
        <f>IF(AQ103="5",BJ103,0)</f>
        <v>0</v>
      </c>
      <c r="AB103" s="324">
        <f>IF(AQ103="1",BH103,0)</f>
        <v>0</v>
      </c>
      <c r="AC103" s="324">
        <f>IF(AQ103="1",BI103,0)</f>
        <v>0</v>
      </c>
      <c r="AD103" s="324">
        <f>IF(AQ103="7",BH103,0)</f>
        <v>0</v>
      </c>
      <c r="AE103" s="324">
        <f>IF(AQ103="7",BI103,0)</f>
        <v>0</v>
      </c>
      <c r="AF103" s="324">
        <f>IF(AQ103="2",BH103,0)</f>
        <v>0</v>
      </c>
      <c r="AG103" s="324">
        <f>IF(AQ103="2",BI103,0)</f>
        <v>0</v>
      </c>
      <c r="AH103" s="324">
        <f>IF(AQ103="0",BJ103,0)</f>
        <v>0</v>
      </c>
      <c r="AI103" s="299" t="s">
        <v>805</v>
      </c>
      <c r="AJ103" s="324">
        <f>IF(AN103=0,K103,0)</f>
        <v>0</v>
      </c>
      <c r="AK103" s="324">
        <f>IF(AN103=15,K103,0)</f>
        <v>0</v>
      </c>
      <c r="AL103" s="324">
        <f>IF(AN103=21,K103,0)</f>
        <v>0</v>
      </c>
      <c r="AN103" s="324">
        <v>21</v>
      </c>
      <c r="AO103" s="324">
        <f>H103*0.448618886146101</f>
        <v>0</v>
      </c>
      <c r="AP103" s="324">
        <f>H103*(1-0.448618886146101)</f>
        <v>0</v>
      </c>
      <c r="AQ103" s="326" t="s">
        <v>810</v>
      </c>
      <c r="AV103" s="324">
        <f>AW103+AX103</f>
        <v>0</v>
      </c>
      <c r="AW103" s="324">
        <f>G103*AO103</f>
        <v>0</v>
      </c>
      <c r="AX103" s="324">
        <f>G103*AP103</f>
        <v>0</v>
      </c>
      <c r="AY103" s="326" t="s">
        <v>879</v>
      </c>
      <c r="AZ103" s="326" t="s">
        <v>821</v>
      </c>
      <c r="BA103" s="299" t="s">
        <v>813</v>
      </c>
      <c r="BC103" s="324">
        <f>AW103+AX103</f>
        <v>0</v>
      </c>
      <c r="BD103" s="324">
        <f>H103/(100-BE103)*100</f>
        <v>0</v>
      </c>
      <c r="BE103" s="324">
        <v>0</v>
      </c>
      <c r="BF103" s="324">
        <f>M103</f>
        <v>8.2059999999999998E-3</v>
      </c>
      <c r="BH103" s="324">
        <f>G103*AO103</f>
        <v>0</v>
      </c>
      <c r="BI103" s="324">
        <f>G103*AP103</f>
        <v>0</v>
      </c>
      <c r="BJ103" s="324">
        <f>G103*H103</f>
        <v>0</v>
      </c>
      <c r="BK103" s="324" t="s">
        <v>814</v>
      </c>
      <c r="BL103" s="324">
        <v>722</v>
      </c>
    </row>
    <row r="104" spans="1:64" ht="25.5" customHeight="1" x14ac:dyDescent="0.2">
      <c r="A104" s="282"/>
      <c r="D104" s="330" t="s">
        <v>961</v>
      </c>
      <c r="E104" s="330"/>
      <c r="F104" s="330"/>
      <c r="G104" s="330"/>
      <c r="H104" s="431"/>
      <c r="I104" s="330"/>
      <c r="J104" s="330"/>
      <c r="K104" s="330"/>
      <c r="L104" s="330"/>
      <c r="M104" s="330"/>
      <c r="N104" s="330"/>
      <c r="O104" s="331"/>
    </row>
    <row r="105" spans="1:64" x14ac:dyDescent="0.2">
      <c r="A105" s="282"/>
      <c r="D105" s="327" t="s">
        <v>962</v>
      </c>
      <c r="E105" s="327"/>
      <c r="G105" s="328">
        <v>37.299999999999997</v>
      </c>
      <c r="H105" s="429"/>
      <c r="N105" s="329"/>
      <c r="O105" s="282"/>
    </row>
    <row r="106" spans="1:64" x14ac:dyDescent="0.2">
      <c r="A106" s="322" t="s">
        <v>963</v>
      </c>
      <c r="B106" s="323" t="s">
        <v>805</v>
      </c>
      <c r="C106" s="323" t="s">
        <v>964</v>
      </c>
      <c r="D106" s="285" t="s">
        <v>960</v>
      </c>
      <c r="E106" s="285"/>
      <c r="F106" s="323" t="s">
        <v>375</v>
      </c>
      <c r="G106" s="324">
        <v>62.1</v>
      </c>
      <c r="H106" s="428"/>
      <c r="I106" s="324">
        <f>G106*AO106</f>
        <v>0</v>
      </c>
      <c r="J106" s="324">
        <f>G106*AP106</f>
        <v>0</v>
      </c>
      <c r="K106" s="324">
        <f>G106*H106</f>
        <v>0</v>
      </c>
      <c r="L106" s="324">
        <v>3.6999999999999999E-4</v>
      </c>
      <c r="M106" s="324">
        <f>G106*L106</f>
        <v>2.2977000000000001E-2</v>
      </c>
      <c r="N106" s="325" t="s">
        <v>809</v>
      </c>
      <c r="O106" s="282"/>
      <c r="Z106" s="324">
        <f>IF(AQ106="5",BJ106,0)</f>
        <v>0</v>
      </c>
      <c r="AB106" s="324">
        <f>IF(AQ106="1",BH106,0)</f>
        <v>0</v>
      </c>
      <c r="AC106" s="324">
        <f>IF(AQ106="1",BI106,0)</f>
        <v>0</v>
      </c>
      <c r="AD106" s="324">
        <f>IF(AQ106="7",BH106,0)</f>
        <v>0</v>
      </c>
      <c r="AE106" s="324">
        <f>IF(AQ106="7",BI106,0)</f>
        <v>0</v>
      </c>
      <c r="AF106" s="324">
        <f>IF(AQ106="2",BH106,0)</f>
        <v>0</v>
      </c>
      <c r="AG106" s="324">
        <f>IF(AQ106="2",BI106,0)</f>
        <v>0</v>
      </c>
      <c r="AH106" s="324">
        <f>IF(AQ106="0",BJ106,0)</f>
        <v>0</v>
      </c>
      <c r="AI106" s="299" t="s">
        <v>805</v>
      </c>
      <c r="AJ106" s="324">
        <f>IF(AN106=0,K106,0)</f>
        <v>0</v>
      </c>
      <c r="AK106" s="324">
        <f>IF(AN106=15,K106,0)</f>
        <v>0</v>
      </c>
      <c r="AL106" s="324">
        <f>IF(AN106=21,K106,0)</f>
        <v>0</v>
      </c>
      <c r="AN106" s="324">
        <v>21</v>
      </c>
      <c r="AO106" s="324">
        <f>H106*0.340444972360546</f>
        <v>0</v>
      </c>
      <c r="AP106" s="324">
        <f>H106*(1-0.340444972360546)</f>
        <v>0</v>
      </c>
      <c r="AQ106" s="326" t="s">
        <v>810</v>
      </c>
      <c r="AV106" s="324">
        <f>AW106+AX106</f>
        <v>0</v>
      </c>
      <c r="AW106" s="324">
        <f>G106*AO106</f>
        <v>0</v>
      </c>
      <c r="AX106" s="324">
        <f>G106*AP106</f>
        <v>0</v>
      </c>
      <c r="AY106" s="326" t="s">
        <v>879</v>
      </c>
      <c r="AZ106" s="326" t="s">
        <v>821</v>
      </c>
      <c r="BA106" s="299" t="s">
        <v>813</v>
      </c>
      <c r="BC106" s="324">
        <f>AW106+AX106</f>
        <v>0</v>
      </c>
      <c r="BD106" s="324">
        <f>H106/(100-BE106)*100</f>
        <v>0</v>
      </c>
      <c r="BE106" s="324">
        <v>0</v>
      </c>
      <c r="BF106" s="324">
        <f>M106</f>
        <v>2.2977000000000001E-2</v>
      </c>
      <c r="BH106" s="324">
        <f>G106*AO106</f>
        <v>0</v>
      </c>
      <c r="BI106" s="324">
        <f>G106*AP106</f>
        <v>0</v>
      </c>
      <c r="BJ106" s="324">
        <f>G106*H106</f>
        <v>0</v>
      </c>
      <c r="BK106" s="324" t="s">
        <v>814</v>
      </c>
      <c r="BL106" s="324">
        <v>722</v>
      </c>
    </row>
    <row r="107" spans="1:64" ht="27.75" customHeight="1" x14ac:dyDescent="0.2">
      <c r="A107" s="282"/>
      <c r="D107" s="330" t="s">
        <v>965</v>
      </c>
      <c r="E107" s="330"/>
      <c r="F107" s="330"/>
      <c r="G107" s="330"/>
      <c r="H107" s="431"/>
      <c r="I107" s="330"/>
      <c r="J107" s="330"/>
      <c r="K107" s="330"/>
      <c r="L107" s="330"/>
      <c r="M107" s="330"/>
      <c r="N107" s="330"/>
      <c r="O107" s="331"/>
    </row>
    <row r="108" spans="1:64" x14ac:dyDescent="0.2">
      <c r="A108" s="282"/>
      <c r="D108" s="327" t="s">
        <v>838</v>
      </c>
      <c r="E108" s="327"/>
      <c r="G108" s="328">
        <v>62.1</v>
      </c>
      <c r="H108" s="429"/>
      <c r="N108" s="329"/>
      <c r="O108" s="282"/>
    </row>
    <row r="109" spans="1:64" x14ac:dyDescent="0.2">
      <c r="A109" s="322" t="s">
        <v>966</v>
      </c>
      <c r="B109" s="323" t="s">
        <v>805</v>
      </c>
      <c r="C109" s="323" t="s">
        <v>967</v>
      </c>
      <c r="D109" s="285" t="s">
        <v>968</v>
      </c>
      <c r="E109" s="285"/>
      <c r="F109" s="323" t="s">
        <v>375</v>
      </c>
      <c r="G109" s="324">
        <v>141.6</v>
      </c>
      <c r="H109" s="428"/>
      <c r="I109" s="324">
        <f>G109*AO109</f>
        <v>0</v>
      </c>
      <c r="J109" s="324">
        <f>G109*AP109</f>
        <v>0</v>
      </c>
      <c r="K109" s="324">
        <f>G109*H109</f>
        <v>0</v>
      </c>
      <c r="L109" s="324">
        <v>2.4000000000000001E-4</v>
      </c>
      <c r="M109" s="324">
        <f>G109*L109</f>
        <v>3.3984E-2</v>
      </c>
      <c r="N109" s="325" t="s">
        <v>809</v>
      </c>
      <c r="O109" s="282"/>
      <c r="Z109" s="324">
        <f>IF(AQ109="5",BJ109,0)</f>
        <v>0</v>
      </c>
      <c r="AB109" s="324">
        <f>IF(AQ109="1",BH109,0)</f>
        <v>0</v>
      </c>
      <c r="AC109" s="324">
        <f>IF(AQ109="1",BI109,0)</f>
        <v>0</v>
      </c>
      <c r="AD109" s="324">
        <f>IF(AQ109="7",BH109,0)</f>
        <v>0</v>
      </c>
      <c r="AE109" s="324">
        <f>IF(AQ109="7",BI109,0)</f>
        <v>0</v>
      </c>
      <c r="AF109" s="324">
        <f>IF(AQ109="2",BH109,0)</f>
        <v>0</v>
      </c>
      <c r="AG109" s="324">
        <f>IF(AQ109="2",BI109,0)</f>
        <v>0</v>
      </c>
      <c r="AH109" s="324">
        <f>IF(AQ109="0",BJ109,0)</f>
        <v>0</v>
      </c>
      <c r="AI109" s="299" t="s">
        <v>805</v>
      </c>
      <c r="AJ109" s="324">
        <f>IF(AN109=0,K109,0)</f>
        <v>0</v>
      </c>
      <c r="AK109" s="324">
        <f>IF(AN109=15,K109,0)</f>
        <v>0</v>
      </c>
      <c r="AL109" s="324">
        <f>IF(AN109=21,K109,0)</f>
        <v>0</v>
      </c>
      <c r="AN109" s="324">
        <v>21</v>
      </c>
      <c r="AO109" s="324">
        <f>H109*0.431509164081034</f>
        <v>0</v>
      </c>
      <c r="AP109" s="324">
        <f>H109*(1-0.431509164081034)</f>
        <v>0</v>
      </c>
      <c r="AQ109" s="326" t="s">
        <v>810</v>
      </c>
      <c r="AV109" s="324">
        <f>AW109+AX109</f>
        <v>0</v>
      </c>
      <c r="AW109" s="324">
        <f>G109*AO109</f>
        <v>0</v>
      </c>
      <c r="AX109" s="324">
        <f>G109*AP109</f>
        <v>0</v>
      </c>
      <c r="AY109" s="326" t="s">
        <v>879</v>
      </c>
      <c r="AZ109" s="326" t="s">
        <v>821</v>
      </c>
      <c r="BA109" s="299" t="s">
        <v>813</v>
      </c>
      <c r="BC109" s="324">
        <f>AW109+AX109</f>
        <v>0</v>
      </c>
      <c r="BD109" s="324">
        <f>H109/(100-BE109)*100</f>
        <v>0</v>
      </c>
      <c r="BE109" s="324">
        <v>0</v>
      </c>
      <c r="BF109" s="324">
        <f>M109</f>
        <v>3.3984E-2</v>
      </c>
      <c r="BH109" s="324">
        <f>G109*AO109</f>
        <v>0</v>
      </c>
      <c r="BI109" s="324">
        <f>G109*AP109</f>
        <v>0</v>
      </c>
      <c r="BJ109" s="324">
        <f>G109*H109</f>
        <v>0</v>
      </c>
      <c r="BK109" s="324" t="s">
        <v>814</v>
      </c>
      <c r="BL109" s="324">
        <v>722</v>
      </c>
    </row>
    <row r="110" spans="1:64" x14ac:dyDescent="0.2">
      <c r="A110" s="282"/>
      <c r="D110" s="327" t="s">
        <v>969</v>
      </c>
      <c r="E110" s="327"/>
      <c r="G110" s="328">
        <v>141.6</v>
      </c>
      <c r="H110" s="429"/>
      <c r="N110" s="329"/>
      <c r="O110" s="282"/>
    </row>
    <row r="111" spans="1:64" x14ac:dyDescent="0.2">
      <c r="A111" s="322" t="s">
        <v>970</v>
      </c>
      <c r="B111" s="323" t="s">
        <v>805</v>
      </c>
      <c r="C111" s="323" t="s">
        <v>971</v>
      </c>
      <c r="D111" s="285" t="s">
        <v>972</v>
      </c>
      <c r="E111" s="285"/>
      <c r="F111" s="323" t="s">
        <v>375</v>
      </c>
      <c r="G111" s="324">
        <v>10.3</v>
      </c>
      <c r="H111" s="428"/>
      <c r="I111" s="324">
        <f>G111*AO111</f>
        <v>0</v>
      </c>
      <c r="J111" s="324">
        <f>G111*AP111</f>
        <v>0</v>
      </c>
      <c r="K111" s="324">
        <f>G111*H111</f>
        <v>0</v>
      </c>
      <c r="L111" s="324">
        <v>5.9000000000000003E-4</v>
      </c>
      <c r="M111" s="324">
        <f>G111*L111</f>
        <v>6.0770000000000008E-3</v>
      </c>
      <c r="N111" s="325" t="s">
        <v>809</v>
      </c>
      <c r="O111" s="282"/>
      <c r="Z111" s="324">
        <f>IF(AQ111="5",BJ111,0)</f>
        <v>0</v>
      </c>
      <c r="AB111" s="324">
        <f>IF(AQ111="1",BH111,0)</f>
        <v>0</v>
      </c>
      <c r="AC111" s="324">
        <f>IF(AQ111="1",BI111,0)</f>
        <v>0</v>
      </c>
      <c r="AD111" s="324">
        <f>IF(AQ111="7",BH111,0)</f>
        <v>0</v>
      </c>
      <c r="AE111" s="324">
        <f>IF(AQ111="7",BI111,0)</f>
        <v>0</v>
      </c>
      <c r="AF111" s="324">
        <f>IF(AQ111="2",BH111,0)</f>
        <v>0</v>
      </c>
      <c r="AG111" s="324">
        <f>IF(AQ111="2",BI111,0)</f>
        <v>0</v>
      </c>
      <c r="AH111" s="324">
        <f>IF(AQ111="0",BJ111,0)</f>
        <v>0</v>
      </c>
      <c r="AI111" s="299" t="s">
        <v>805</v>
      </c>
      <c r="AJ111" s="324">
        <f>IF(AN111=0,K111,0)</f>
        <v>0</v>
      </c>
      <c r="AK111" s="324">
        <f>IF(AN111=15,K111,0)</f>
        <v>0</v>
      </c>
      <c r="AL111" s="324">
        <f>IF(AN111=21,K111,0)</f>
        <v>0</v>
      </c>
      <c r="AN111" s="324">
        <v>21</v>
      </c>
      <c r="AO111" s="324">
        <f>H111*0.501259370314842</f>
        <v>0</v>
      </c>
      <c r="AP111" s="324">
        <f>H111*(1-0.501259370314842)</f>
        <v>0</v>
      </c>
      <c r="AQ111" s="326" t="s">
        <v>810</v>
      </c>
      <c r="AV111" s="324">
        <f>AW111+AX111</f>
        <v>0</v>
      </c>
      <c r="AW111" s="324">
        <f>G111*AO111</f>
        <v>0</v>
      </c>
      <c r="AX111" s="324">
        <f>G111*AP111</f>
        <v>0</v>
      </c>
      <c r="AY111" s="326" t="s">
        <v>879</v>
      </c>
      <c r="AZ111" s="326" t="s">
        <v>821</v>
      </c>
      <c r="BA111" s="299" t="s">
        <v>813</v>
      </c>
      <c r="BC111" s="324">
        <f>AW111+AX111</f>
        <v>0</v>
      </c>
      <c r="BD111" s="324">
        <f>H111/(100-BE111)*100</f>
        <v>0</v>
      </c>
      <c r="BE111" s="324">
        <v>0</v>
      </c>
      <c r="BF111" s="324">
        <f>M111</f>
        <v>6.0770000000000008E-3</v>
      </c>
      <c r="BH111" s="324">
        <f>G111*AO111</f>
        <v>0</v>
      </c>
      <c r="BI111" s="324">
        <f>G111*AP111</f>
        <v>0</v>
      </c>
      <c r="BJ111" s="324">
        <f>G111*H111</f>
        <v>0</v>
      </c>
      <c r="BK111" s="324" t="s">
        <v>814</v>
      </c>
      <c r="BL111" s="324">
        <v>722</v>
      </c>
    </row>
    <row r="112" spans="1:64" x14ac:dyDescent="0.2">
      <c r="A112" s="282"/>
      <c r="D112" s="327" t="s">
        <v>973</v>
      </c>
      <c r="E112" s="327"/>
      <c r="G112" s="328">
        <v>10.3</v>
      </c>
      <c r="H112" s="429"/>
      <c r="N112" s="329"/>
      <c r="O112" s="282"/>
    </row>
    <row r="113" spans="1:64" x14ac:dyDescent="0.2">
      <c r="A113" s="322" t="s">
        <v>974</v>
      </c>
      <c r="B113" s="323" t="s">
        <v>805</v>
      </c>
      <c r="C113" s="323" t="s">
        <v>975</v>
      </c>
      <c r="D113" s="285" t="s">
        <v>976</v>
      </c>
      <c r="E113" s="285"/>
      <c r="F113" s="323" t="s">
        <v>375</v>
      </c>
      <c r="G113" s="324">
        <v>21.4</v>
      </c>
      <c r="H113" s="428"/>
      <c r="I113" s="324">
        <f>G113*AO113</f>
        <v>0</v>
      </c>
      <c r="J113" s="324">
        <f>G113*AP113</f>
        <v>0</v>
      </c>
      <c r="K113" s="324">
        <f>G113*H113</f>
        <v>0</v>
      </c>
      <c r="L113" s="324">
        <v>7.6000000000000004E-4</v>
      </c>
      <c r="M113" s="324">
        <f>G113*L113</f>
        <v>1.6264000000000001E-2</v>
      </c>
      <c r="N113" s="325" t="s">
        <v>809</v>
      </c>
      <c r="O113" s="282"/>
      <c r="Z113" s="324">
        <f>IF(AQ113="5",BJ113,0)</f>
        <v>0</v>
      </c>
      <c r="AB113" s="324">
        <f>IF(AQ113="1",BH113,0)</f>
        <v>0</v>
      </c>
      <c r="AC113" s="324">
        <f>IF(AQ113="1",BI113,0)</f>
        <v>0</v>
      </c>
      <c r="AD113" s="324">
        <f>IF(AQ113="7",BH113,0)</f>
        <v>0</v>
      </c>
      <c r="AE113" s="324">
        <f>IF(AQ113="7",BI113,0)</f>
        <v>0</v>
      </c>
      <c r="AF113" s="324">
        <f>IF(AQ113="2",BH113,0)</f>
        <v>0</v>
      </c>
      <c r="AG113" s="324">
        <f>IF(AQ113="2",BI113,0)</f>
        <v>0</v>
      </c>
      <c r="AH113" s="324">
        <f>IF(AQ113="0",BJ113,0)</f>
        <v>0</v>
      </c>
      <c r="AI113" s="299" t="s">
        <v>805</v>
      </c>
      <c r="AJ113" s="324">
        <f>IF(AN113=0,K113,0)</f>
        <v>0</v>
      </c>
      <c r="AK113" s="324">
        <f>IF(AN113=15,K113,0)</f>
        <v>0</v>
      </c>
      <c r="AL113" s="324">
        <f>IF(AN113=21,K113,0)</f>
        <v>0</v>
      </c>
      <c r="AN113" s="324">
        <v>21</v>
      </c>
      <c r="AO113" s="324">
        <f>H113*0.580180995475113</f>
        <v>0</v>
      </c>
      <c r="AP113" s="324">
        <f>H113*(1-0.580180995475113)</f>
        <v>0</v>
      </c>
      <c r="AQ113" s="326" t="s">
        <v>810</v>
      </c>
      <c r="AV113" s="324">
        <f>AW113+AX113</f>
        <v>0</v>
      </c>
      <c r="AW113" s="324">
        <f>G113*AO113</f>
        <v>0</v>
      </c>
      <c r="AX113" s="324">
        <f>G113*AP113</f>
        <v>0</v>
      </c>
      <c r="AY113" s="326" t="s">
        <v>879</v>
      </c>
      <c r="AZ113" s="326" t="s">
        <v>821</v>
      </c>
      <c r="BA113" s="299" t="s">
        <v>813</v>
      </c>
      <c r="BC113" s="324">
        <f>AW113+AX113</f>
        <v>0</v>
      </c>
      <c r="BD113" s="324">
        <f>H113/(100-BE113)*100</f>
        <v>0</v>
      </c>
      <c r="BE113" s="324">
        <v>0</v>
      </c>
      <c r="BF113" s="324">
        <f>M113</f>
        <v>1.6264000000000001E-2</v>
      </c>
      <c r="BH113" s="324">
        <f>G113*AO113</f>
        <v>0</v>
      </c>
      <c r="BI113" s="324">
        <f>G113*AP113</f>
        <v>0</v>
      </c>
      <c r="BJ113" s="324">
        <f>G113*H113</f>
        <v>0</v>
      </c>
      <c r="BK113" s="324" t="s">
        <v>814</v>
      </c>
      <c r="BL113" s="324">
        <v>722</v>
      </c>
    </row>
    <row r="114" spans="1:64" x14ac:dyDescent="0.2">
      <c r="A114" s="282"/>
      <c r="D114" s="327" t="s">
        <v>977</v>
      </c>
      <c r="E114" s="327"/>
      <c r="G114" s="328">
        <v>21.4</v>
      </c>
      <c r="H114" s="429"/>
      <c r="N114" s="329"/>
      <c r="O114" s="282"/>
    </row>
    <row r="115" spans="1:64" x14ac:dyDescent="0.2">
      <c r="A115" s="322" t="s">
        <v>978</v>
      </c>
      <c r="B115" s="323" t="s">
        <v>805</v>
      </c>
      <c r="C115" s="323" t="s">
        <v>979</v>
      </c>
      <c r="D115" s="285" t="s">
        <v>980</v>
      </c>
      <c r="E115" s="285"/>
      <c r="F115" s="323" t="s">
        <v>230</v>
      </c>
      <c r="G115" s="324">
        <v>3</v>
      </c>
      <c r="H115" s="428"/>
      <c r="I115" s="324">
        <f>G115*AO115</f>
        <v>0</v>
      </c>
      <c r="J115" s="324">
        <f>G115*AP115</f>
        <v>0</v>
      </c>
      <c r="K115" s="324">
        <f>G115*H115</f>
        <v>0</v>
      </c>
      <c r="L115" s="324">
        <v>2.5000000000000001E-4</v>
      </c>
      <c r="M115" s="324">
        <f>G115*L115</f>
        <v>7.5000000000000002E-4</v>
      </c>
      <c r="N115" s="325" t="s">
        <v>809</v>
      </c>
      <c r="O115" s="282"/>
      <c r="Z115" s="324">
        <f>IF(AQ115="5",BJ115,0)</f>
        <v>0</v>
      </c>
      <c r="AB115" s="324">
        <f>IF(AQ115="1",BH115,0)</f>
        <v>0</v>
      </c>
      <c r="AC115" s="324">
        <f>IF(AQ115="1",BI115,0)</f>
        <v>0</v>
      </c>
      <c r="AD115" s="324">
        <f>IF(AQ115="7",BH115,0)</f>
        <v>0</v>
      </c>
      <c r="AE115" s="324">
        <f>IF(AQ115="7",BI115,0)</f>
        <v>0</v>
      </c>
      <c r="AF115" s="324">
        <f>IF(AQ115="2",BH115,0)</f>
        <v>0</v>
      </c>
      <c r="AG115" s="324">
        <f>IF(AQ115="2",BI115,0)</f>
        <v>0</v>
      </c>
      <c r="AH115" s="324">
        <f>IF(AQ115="0",BJ115,0)</f>
        <v>0</v>
      </c>
      <c r="AI115" s="299" t="s">
        <v>805</v>
      </c>
      <c r="AJ115" s="324">
        <f>IF(AN115=0,K115,0)</f>
        <v>0</v>
      </c>
      <c r="AK115" s="324">
        <f>IF(AN115=15,K115,0)</f>
        <v>0</v>
      </c>
      <c r="AL115" s="324">
        <f>IF(AN115=21,K115,0)</f>
        <v>0</v>
      </c>
      <c r="AN115" s="324">
        <v>21</v>
      </c>
      <c r="AO115" s="324">
        <f>H115*0.793164251207729</f>
        <v>0</v>
      </c>
      <c r="AP115" s="324">
        <f>H115*(1-0.793164251207729)</f>
        <v>0</v>
      </c>
      <c r="AQ115" s="326" t="s">
        <v>810</v>
      </c>
      <c r="AV115" s="324">
        <f>AW115+AX115</f>
        <v>0</v>
      </c>
      <c r="AW115" s="324">
        <f>G115*AO115</f>
        <v>0</v>
      </c>
      <c r="AX115" s="324">
        <f>G115*AP115</f>
        <v>0</v>
      </c>
      <c r="AY115" s="326" t="s">
        <v>879</v>
      </c>
      <c r="AZ115" s="326" t="s">
        <v>821</v>
      </c>
      <c r="BA115" s="299" t="s">
        <v>813</v>
      </c>
      <c r="BC115" s="324">
        <f>AW115+AX115</f>
        <v>0</v>
      </c>
      <c r="BD115" s="324">
        <f>H115/(100-BE115)*100</f>
        <v>0</v>
      </c>
      <c r="BE115" s="324">
        <v>0</v>
      </c>
      <c r="BF115" s="324">
        <f>M115</f>
        <v>7.5000000000000002E-4</v>
      </c>
      <c r="BH115" s="324">
        <f>G115*AO115</f>
        <v>0</v>
      </c>
      <c r="BI115" s="324">
        <f>G115*AP115</f>
        <v>0</v>
      </c>
      <c r="BJ115" s="324">
        <f>G115*H115</f>
        <v>0</v>
      </c>
      <c r="BK115" s="324" t="s">
        <v>814</v>
      </c>
      <c r="BL115" s="324">
        <v>722</v>
      </c>
    </row>
    <row r="116" spans="1:64" x14ac:dyDescent="0.2">
      <c r="A116" s="282"/>
      <c r="D116" s="327" t="s">
        <v>63</v>
      </c>
      <c r="E116" s="327"/>
      <c r="G116" s="328">
        <v>3</v>
      </c>
      <c r="H116" s="429"/>
      <c r="N116" s="329"/>
      <c r="O116" s="282"/>
    </row>
    <row r="117" spans="1:64" x14ac:dyDescent="0.2">
      <c r="A117" s="322" t="s">
        <v>981</v>
      </c>
      <c r="B117" s="323" t="s">
        <v>805</v>
      </c>
      <c r="C117" s="323" t="s">
        <v>982</v>
      </c>
      <c r="D117" s="285" t="s">
        <v>983</v>
      </c>
      <c r="E117" s="285"/>
      <c r="F117" s="323" t="s">
        <v>230</v>
      </c>
      <c r="G117" s="324">
        <v>2</v>
      </c>
      <c r="H117" s="428"/>
      <c r="I117" s="324">
        <f>G117*AO117</f>
        <v>0</v>
      </c>
      <c r="J117" s="324">
        <f>G117*AP117</f>
        <v>0</v>
      </c>
      <c r="K117" s="324">
        <f>G117*H117</f>
        <v>0</v>
      </c>
      <c r="L117" s="324">
        <v>3.4000000000000002E-4</v>
      </c>
      <c r="M117" s="324">
        <f>G117*L117</f>
        <v>6.8000000000000005E-4</v>
      </c>
      <c r="N117" s="325" t="s">
        <v>809</v>
      </c>
      <c r="O117" s="282"/>
      <c r="Z117" s="324">
        <f>IF(AQ117="5",BJ117,0)</f>
        <v>0</v>
      </c>
      <c r="AB117" s="324">
        <f>IF(AQ117="1",BH117,0)</f>
        <v>0</v>
      </c>
      <c r="AC117" s="324">
        <f>IF(AQ117="1",BI117,0)</f>
        <v>0</v>
      </c>
      <c r="AD117" s="324">
        <f>IF(AQ117="7",BH117,0)</f>
        <v>0</v>
      </c>
      <c r="AE117" s="324">
        <f>IF(AQ117="7",BI117,0)</f>
        <v>0</v>
      </c>
      <c r="AF117" s="324">
        <f>IF(AQ117="2",BH117,0)</f>
        <v>0</v>
      </c>
      <c r="AG117" s="324">
        <f>IF(AQ117="2",BI117,0)</f>
        <v>0</v>
      </c>
      <c r="AH117" s="324">
        <f>IF(AQ117="0",BJ117,0)</f>
        <v>0</v>
      </c>
      <c r="AI117" s="299" t="s">
        <v>805</v>
      </c>
      <c r="AJ117" s="324">
        <f>IF(AN117=0,K117,0)</f>
        <v>0</v>
      </c>
      <c r="AK117" s="324">
        <f>IF(AN117=15,K117,0)</f>
        <v>0</v>
      </c>
      <c r="AL117" s="324">
        <f>IF(AN117=21,K117,0)</f>
        <v>0</v>
      </c>
      <c r="AN117" s="324">
        <v>21</v>
      </c>
      <c r="AO117" s="324">
        <f>H117*0.803241758241758</f>
        <v>0</v>
      </c>
      <c r="AP117" s="324">
        <f>H117*(1-0.803241758241758)</f>
        <v>0</v>
      </c>
      <c r="AQ117" s="326" t="s">
        <v>810</v>
      </c>
      <c r="AV117" s="324">
        <f>AW117+AX117</f>
        <v>0</v>
      </c>
      <c r="AW117" s="324">
        <f>G117*AO117</f>
        <v>0</v>
      </c>
      <c r="AX117" s="324">
        <f>G117*AP117</f>
        <v>0</v>
      </c>
      <c r="AY117" s="326" t="s">
        <v>879</v>
      </c>
      <c r="AZ117" s="326" t="s">
        <v>821</v>
      </c>
      <c r="BA117" s="299" t="s">
        <v>813</v>
      </c>
      <c r="BC117" s="324">
        <f>AW117+AX117</f>
        <v>0</v>
      </c>
      <c r="BD117" s="324">
        <f>H117/(100-BE117)*100</f>
        <v>0</v>
      </c>
      <c r="BE117" s="324">
        <v>0</v>
      </c>
      <c r="BF117" s="324">
        <f>M117</f>
        <v>6.8000000000000005E-4</v>
      </c>
      <c r="BH117" s="324">
        <f>G117*AO117</f>
        <v>0</v>
      </c>
      <c r="BI117" s="324">
        <f>G117*AP117</f>
        <v>0</v>
      </c>
      <c r="BJ117" s="324">
        <f>G117*H117</f>
        <v>0</v>
      </c>
      <c r="BK117" s="324" t="s">
        <v>814</v>
      </c>
      <c r="BL117" s="324">
        <v>722</v>
      </c>
    </row>
    <row r="118" spans="1:64" x14ac:dyDescent="0.2">
      <c r="A118" s="282"/>
      <c r="D118" s="327" t="s">
        <v>297</v>
      </c>
      <c r="E118" s="327"/>
      <c r="G118" s="328">
        <v>2</v>
      </c>
      <c r="H118" s="429"/>
      <c r="N118" s="329"/>
      <c r="O118" s="282"/>
    </row>
    <row r="119" spans="1:64" x14ac:dyDescent="0.2">
      <c r="A119" s="322" t="s">
        <v>984</v>
      </c>
      <c r="B119" s="323" t="s">
        <v>805</v>
      </c>
      <c r="C119" s="323" t="s">
        <v>985</v>
      </c>
      <c r="D119" s="285" t="s">
        <v>986</v>
      </c>
      <c r="E119" s="285"/>
      <c r="F119" s="323" t="s">
        <v>230</v>
      </c>
      <c r="G119" s="324">
        <v>3</v>
      </c>
      <c r="H119" s="428"/>
      <c r="I119" s="324">
        <f>G119*AO119</f>
        <v>0</v>
      </c>
      <c r="J119" s="324">
        <f>G119*AP119</f>
        <v>0</v>
      </c>
      <c r="K119" s="324">
        <f>G119*H119</f>
        <v>0</v>
      </c>
      <c r="L119" s="324">
        <v>5.1999999999999995E-4</v>
      </c>
      <c r="M119" s="324">
        <f>G119*L119</f>
        <v>1.5599999999999998E-3</v>
      </c>
      <c r="N119" s="325" t="s">
        <v>809</v>
      </c>
      <c r="O119" s="282"/>
      <c r="Z119" s="324">
        <f>IF(AQ119="5",BJ119,0)</f>
        <v>0</v>
      </c>
      <c r="AB119" s="324">
        <f>IF(AQ119="1",BH119,0)</f>
        <v>0</v>
      </c>
      <c r="AC119" s="324">
        <f>IF(AQ119="1",BI119,0)</f>
        <v>0</v>
      </c>
      <c r="AD119" s="324">
        <f>IF(AQ119="7",BH119,0)</f>
        <v>0</v>
      </c>
      <c r="AE119" s="324">
        <f>IF(AQ119="7",BI119,0)</f>
        <v>0</v>
      </c>
      <c r="AF119" s="324">
        <f>IF(AQ119="2",BH119,0)</f>
        <v>0</v>
      </c>
      <c r="AG119" s="324">
        <f>IF(AQ119="2",BI119,0)</f>
        <v>0</v>
      </c>
      <c r="AH119" s="324">
        <f>IF(AQ119="0",BJ119,0)</f>
        <v>0</v>
      </c>
      <c r="AI119" s="299" t="s">
        <v>805</v>
      </c>
      <c r="AJ119" s="324">
        <f>IF(AN119=0,K119,0)</f>
        <v>0</v>
      </c>
      <c r="AK119" s="324">
        <f>IF(AN119=15,K119,0)</f>
        <v>0</v>
      </c>
      <c r="AL119" s="324">
        <f>IF(AN119=21,K119,0)</f>
        <v>0</v>
      </c>
      <c r="AN119" s="324">
        <v>21</v>
      </c>
      <c r="AO119" s="324">
        <f>H119*0.848378378378378</f>
        <v>0</v>
      </c>
      <c r="AP119" s="324">
        <f>H119*(1-0.848378378378378)</f>
        <v>0</v>
      </c>
      <c r="AQ119" s="326" t="s">
        <v>810</v>
      </c>
      <c r="AV119" s="324">
        <f>AW119+AX119</f>
        <v>0</v>
      </c>
      <c r="AW119" s="324">
        <f>G119*AO119</f>
        <v>0</v>
      </c>
      <c r="AX119" s="324">
        <f>G119*AP119</f>
        <v>0</v>
      </c>
      <c r="AY119" s="326" t="s">
        <v>879</v>
      </c>
      <c r="AZ119" s="326" t="s">
        <v>821</v>
      </c>
      <c r="BA119" s="299" t="s">
        <v>813</v>
      </c>
      <c r="BC119" s="324">
        <f>AW119+AX119</f>
        <v>0</v>
      </c>
      <c r="BD119" s="324">
        <f>H119/(100-BE119)*100</f>
        <v>0</v>
      </c>
      <c r="BE119" s="324">
        <v>0</v>
      </c>
      <c r="BF119" s="324">
        <f>M119</f>
        <v>1.5599999999999998E-3</v>
      </c>
      <c r="BH119" s="324">
        <f>G119*AO119</f>
        <v>0</v>
      </c>
      <c r="BI119" s="324">
        <f>G119*AP119</f>
        <v>0</v>
      </c>
      <c r="BJ119" s="324">
        <f>G119*H119</f>
        <v>0</v>
      </c>
      <c r="BK119" s="324" t="s">
        <v>814</v>
      </c>
      <c r="BL119" s="324">
        <v>722</v>
      </c>
    </row>
    <row r="120" spans="1:64" x14ac:dyDescent="0.2">
      <c r="A120" s="282"/>
      <c r="D120" s="327" t="s">
        <v>63</v>
      </c>
      <c r="E120" s="327"/>
      <c r="G120" s="328">
        <v>3</v>
      </c>
      <c r="H120" s="429"/>
      <c r="N120" s="329"/>
      <c r="O120" s="282"/>
    </row>
    <row r="121" spans="1:64" x14ac:dyDescent="0.2">
      <c r="A121" s="322" t="s">
        <v>987</v>
      </c>
      <c r="B121" s="323" t="s">
        <v>805</v>
      </c>
      <c r="C121" s="323" t="s">
        <v>988</v>
      </c>
      <c r="D121" s="285" t="s">
        <v>989</v>
      </c>
      <c r="E121" s="285"/>
      <c r="F121" s="323" t="s">
        <v>230</v>
      </c>
      <c r="G121" s="324">
        <v>2</v>
      </c>
      <c r="H121" s="428"/>
      <c r="I121" s="324">
        <f>G121*AO121</f>
        <v>0</v>
      </c>
      <c r="J121" s="324">
        <f>G121*AP121</f>
        <v>0</v>
      </c>
      <c r="K121" s="324">
        <f>G121*H121</f>
        <v>0</v>
      </c>
      <c r="L121" s="324">
        <v>7.3999999999999999E-4</v>
      </c>
      <c r="M121" s="324">
        <f>G121*L121</f>
        <v>1.48E-3</v>
      </c>
      <c r="N121" s="325" t="s">
        <v>809</v>
      </c>
      <c r="O121" s="282"/>
      <c r="Z121" s="324">
        <f>IF(AQ121="5",BJ121,0)</f>
        <v>0</v>
      </c>
      <c r="AB121" s="324">
        <f>IF(AQ121="1",BH121,0)</f>
        <v>0</v>
      </c>
      <c r="AC121" s="324">
        <f>IF(AQ121="1",BI121,0)</f>
        <v>0</v>
      </c>
      <c r="AD121" s="324">
        <f>IF(AQ121="7",BH121,0)</f>
        <v>0</v>
      </c>
      <c r="AE121" s="324">
        <f>IF(AQ121="7",BI121,0)</f>
        <v>0</v>
      </c>
      <c r="AF121" s="324">
        <f>IF(AQ121="2",BH121,0)</f>
        <v>0</v>
      </c>
      <c r="AG121" s="324">
        <f>IF(AQ121="2",BI121,0)</f>
        <v>0</v>
      </c>
      <c r="AH121" s="324">
        <f>IF(AQ121="0",BJ121,0)</f>
        <v>0</v>
      </c>
      <c r="AI121" s="299" t="s">
        <v>805</v>
      </c>
      <c r="AJ121" s="324">
        <f>IF(AN121=0,K121,0)</f>
        <v>0</v>
      </c>
      <c r="AK121" s="324">
        <f>IF(AN121=15,K121,0)</f>
        <v>0</v>
      </c>
      <c r="AL121" s="324">
        <f>IF(AN121=21,K121,0)</f>
        <v>0</v>
      </c>
      <c r="AN121" s="324">
        <v>21</v>
      </c>
      <c r="AO121" s="324">
        <f>H121*0.874798206278027</f>
        <v>0</v>
      </c>
      <c r="AP121" s="324">
        <f>H121*(1-0.874798206278027)</f>
        <v>0</v>
      </c>
      <c r="AQ121" s="326" t="s">
        <v>810</v>
      </c>
      <c r="AV121" s="324">
        <f>AW121+AX121</f>
        <v>0</v>
      </c>
      <c r="AW121" s="324">
        <f>G121*AO121</f>
        <v>0</v>
      </c>
      <c r="AX121" s="324">
        <f>G121*AP121</f>
        <v>0</v>
      </c>
      <c r="AY121" s="326" t="s">
        <v>879</v>
      </c>
      <c r="AZ121" s="326" t="s">
        <v>821</v>
      </c>
      <c r="BA121" s="299" t="s">
        <v>813</v>
      </c>
      <c r="BC121" s="324">
        <f>AW121+AX121</f>
        <v>0</v>
      </c>
      <c r="BD121" s="324">
        <f>H121/(100-BE121)*100</f>
        <v>0</v>
      </c>
      <c r="BE121" s="324">
        <v>0</v>
      </c>
      <c r="BF121" s="324">
        <f>M121</f>
        <v>1.48E-3</v>
      </c>
      <c r="BH121" s="324">
        <f>G121*AO121</f>
        <v>0</v>
      </c>
      <c r="BI121" s="324">
        <f>G121*AP121</f>
        <v>0</v>
      </c>
      <c r="BJ121" s="324">
        <f>G121*H121</f>
        <v>0</v>
      </c>
      <c r="BK121" s="324" t="s">
        <v>814</v>
      </c>
      <c r="BL121" s="324">
        <v>722</v>
      </c>
    </row>
    <row r="122" spans="1:64" x14ac:dyDescent="0.2">
      <c r="A122" s="282"/>
      <c r="D122" s="327" t="s">
        <v>297</v>
      </c>
      <c r="E122" s="327"/>
      <c r="G122" s="328">
        <v>2</v>
      </c>
      <c r="H122" s="429"/>
      <c r="N122" s="329"/>
      <c r="O122" s="282"/>
    </row>
    <row r="123" spans="1:64" x14ac:dyDescent="0.2">
      <c r="A123" s="322" t="s">
        <v>990</v>
      </c>
      <c r="B123" s="323" t="s">
        <v>805</v>
      </c>
      <c r="C123" s="323" t="s">
        <v>991</v>
      </c>
      <c r="D123" s="285" t="s">
        <v>992</v>
      </c>
      <c r="E123" s="285"/>
      <c r="F123" s="323" t="s">
        <v>375</v>
      </c>
      <c r="G123" s="324">
        <v>210</v>
      </c>
      <c r="H123" s="428"/>
      <c r="I123" s="324">
        <f>G123*AO123</f>
        <v>0</v>
      </c>
      <c r="J123" s="324">
        <f>G123*AP123</f>
        <v>0</v>
      </c>
      <c r="K123" s="324">
        <f>G123*H123</f>
        <v>0</v>
      </c>
      <c r="L123" s="324">
        <v>2.1299999999999999E-3</v>
      </c>
      <c r="M123" s="324">
        <f>G123*L123</f>
        <v>0.44729999999999998</v>
      </c>
      <c r="N123" s="325" t="s">
        <v>809</v>
      </c>
      <c r="O123" s="282"/>
      <c r="Z123" s="324">
        <f>IF(AQ123="5",BJ123,0)</f>
        <v>0</v>
      </c>
      <c r="AB123" s="324">
        <f>IF(AQ123="1",BH123,0)</f>
        <v>0</v>
      </c>
      <c r="AC123" s="324">
        <f>IF(AQ123="1",BI123,0)</f>
        <v>0</v>
      </c>
      <c r="AD123" s="324">
        <f>IF(AQ123="7",BH123,0)</f>
        <v>0</v>
      </c>
      <c r="AE123" s="324">
        <f>IF(AQ123="7",BI123,0)</f>
        <v>0</v>
      </c>
      <c r="AF123" s="324">
        <f>IF(AQ123="2",BH123,0)</f>
        <v>0</v>
      </c>
      <c r="AG123" s="324">
        <f>IF(AQ123="2",BI123,0)</f>
        <v>0</v>
      </c>
      <c r="AH123" s="324">
        <f>IF(AQ123="0",BJ123,0)</f>
        <v>0</v>
      </c>
      <c r="AI123" s="299" t="s">
        <v>805</v>
      </c>
      <c r="AJ123" s="324">
        <f>IF(AN123=0,K123,0)</f>
        <v>0</v>
      </c>
      <c r="AK123" s="324">
        <f>IF(AN123=15,K123,0)</f>
        <v>0</v>
      </c>
      <c r="AL123" s="324">
        <f>IF(AN123=21,K123,0)</f>
        <v>0</v>
      </c>
      <c r="AN123" s="324">
        <v>21</v>
      </c>
      <c r="AO123" s="324">
        <f>H123*0</f>
        <v>0</v>
      </c>
      <c r="AP123" s="324">
        <f>H123*(1-0)</f>
        <v>0</v>
      </c>
      <c r="AQ123" s="326" t="s">
        <v>810</v>
      </c>
      <c r="AV123" s="324">
        <f>AW123+AX123</f>
        <v>0</v>
      </c>
      <c r="AW123" s="324">
        <f>G123*AO123</f>
        <v>0</v>
      </c>
      <c r="AX123" s="324">
        <f>G123*AP123</f>
        <v>0</v>
      </c>
      <c r="AY123" s="326" t="s">
        <v>879</v>
      </c>
      <c r="AZ123" s="326" t="s">
        <v>821</v>
      </c>
      <c r="BA123" s="299" t="s">
        <v>813</v>
      </c>
      <c r="BC123" s="324">
        <f>AW123+AX123</f>
        <v>0</v>
      </c>
      <c r="BD123" s="324">
        <f>H123/(100-BE123)*100</f>
        <v>0</v>
      </c>
      <c r="BE123" s="324">
        <v>0</v>
      </c>
      <c r="BF123" s="324">
        <f>M123</f>
        <v>0.44729999999999998</v>
      </c>
      <c r="BH123" s="324">
        <f>G123*AO123</f>
        <v>0</v>
      </c>
      <c r="BI123" s="324">
        <f>G123*AP123</f>
        <v>0</v>
      </c>
      <c r="BJ123" s="324">
        <f>G123*H123</f>
        <v>0</v>
      </c>
      <c r="BK123" s="324" t="s">
        <v>814</v>
      </c>
      <c r="BL123" s="324">
        <v>722</v>
      </c>
    </row>
    <row r="124" spans="1:64" x14ac:dyDescent="0.2">
      <c r="A124" s="282"/>
      <c r="D124" s="327" t="s">
        <v>993</v>
      </c>
      <c r="E124" s="327"/>
      <c r="G124" s="328">
        <v>210</v>
      </c>
      <c r="H124" s="429"/>
      <c r="N124" s="329"/>
      <c r="O124" s="282"/>
    </row>
    <row r="125" spans="1:64" x14ac:dyDescent="0.2">
      <c r="A125" s="322" t="s">
        <v>994</v>
      </c>
      <c r="B125" s="323" t="s">
        <v>805</v>
      </c>
      <c r="C125" s="323" t="s">
        <v>995</v>
      </c>
      <c r="D125" s="285" t="s">
        <v>996</v>
      </c>
      <c r="E125" s="285"/>
      <c r="F125" s="323" t="s">
        <v>375</v>
      </c>
      <c r="G125" s="324">
        <v>167</v>
      </c>
      <c r="H125" s="428"/>
      <c r="I125" s="324">
        <f>G125*AO125</f>
        <v>0</v>
      </c>
      <c r="J125" s="324">
        <f>G125*AP125</f>
        <v>0</v>
      </c>
      <c r="K125" s="324">
        <f>G125*H125</f>
        <v>0</v>
      </c>
      <c r="L125" s="324">
        <v>4.9699999999999996E-3</v>
      </c>
      <c r="M125" s="324">
        <f>G125*L125</f>
        <v>0.82998999999999989</v>
      </c>
      <c r="N125" s="325" t="s">
        <v>809</v>
      </c>
      <c r="O125" s="282"/>
      <c r="Z125" s="324">
        <f>IF(AQ125="5",BJ125,0)</f>
        <v>0</v>
      </c>
      <c r="AB125" s="324">
        <f>IF(AQ125="1",BH125,0)</f>
        <v>0</v>
      </c>
      <c r="AC125" s="324">
        <f>IF(AQ125="1",BI125,0)</f>
        <v>0</v>
      </c>
      <c r="AD125" s="324">
        <f>IF(AQ125="7",BH125,0)</f>
        <v>0</v>
      </c>
      <c r="AE125" s="324">
        <f>IF(AQ125="7",BI125,0)</f>
        <v>0</v>
      </c>
      <c r="AF125" s="324">
        <f>IF(AQ125="2",BH125,0)</f>
        <v>0</v>
      </c>
      <c r="AG125" s="324">
        <f>IF(AQ125="2",BI125,0)</f>
        <v>0</v>
      </c>
      <c r="AH125" s="324">
        <f>IF(AQ125="0",BJ125,0)</f>
        <v>0</v>
      </c>
      <c r="AI125" s="299" t="s">
        <v>805</v>
      </c>
      <c r="AJ125" s="324">
        <f>IF(AN125=0,K125,0)</f>
        <v>0</v>
      </c>
      <c r="AK125" s="324">
        <f>IF(AN125=15,K125,0)</f>
        <v>0</v>
      </c>
      <c r="AL125" s="324">
        <f>IF(AN125=21,K125,0)</f>
        <v>0</v>
      </c>
      <c r="AN125" s="324">
        <v>21</v>
      </c>
      <c r="AO125" s="324">
        <f>H125*0</f>
        <v>0</v>
      </c>
      <c r="AP125" s="324">
        <f>H125*(1-0)</f>
        <v>0</v>
      </c>
      <c r="AQ125" s="326" t="s">
        <v>810</v>
      </c>
      <c r="AV125" s="324">
        <f>AW125+AX125</f>
        <v>0</v>
      </c>
      <c r="AW125" s="324">
        <f>G125*AO125</f>
        <v>0</v>
      </c>
      <c r="AX125" s="324">
        <f>G125*AP125</f>
        <v>0</v>
      </c>
      <c r="AY125" s="326" t="s">
        <v>879</v>
      </c>
      <c r="AZ125" s="326" t="s">
        <v>821</v>
      </c>
      <c r="BA125" s="299" t="s">
        <v>813</v>
      </c>
      <c r="BC125" s="324">
        <f>AW125+AX125</f>
        <v>0</v>
      </c>
      <c r="BD125" s="324">
        <f>H125/(100-BE125)*100</f>
        <v>0</v>
      </c>
      <c r="BE125" s="324">
        <v>0</v>
      </c>
      <c r="BF125" s="324">
        <f>M125</f>
        <v>0.82998999999999989</v>
      </c>
      <c r="BH125" s="324">
        <f>G125*AO125</f>
        <v>0</v>
      </c>
      <c r="BI125" s="324">
        <f>G125*AP125</f>
        <v>0</v>
      </c>
      <c r="BJ125" s="324">
        <f>G125*H125</f>
        <v>0</v>
      </c>
      <c r="BK125" s="324" t="s">
        <v>814</v>
      </c>
      <c r="BL125" s="324">
        <v>722</v>
      </c>
    </row>
    <row r="126" spans="1:64" x14ac:dyDescent="0.2">
      <c r="A126" s="282"/>
      <c r="D126" s="327" t="s">
        <v>997</v>
      </c>
      <c r="E126" s="327"/>
      <c r="G126" s="328">
        <v>167</v>
      </c>
      <c r="H126" s="429"/>
      <c r="N126" s="329"/>
      <c r="O126" s="282"/>
    </row>
    <row r="127" spans="1:64" x14ac:dyDescent="0.2">
      <c r="A127" s="322" t="s">
        <v>998</v>
      </c>
      <c r="B127" s="323" t="s">
        <v>805</v>
      </c>
      <c r="C127" s="323" t="s">
        <v>999</v>
      </c>
      <c r="D127" s="285" t="s">
        <v>1000</v>
      </c>
      <c r="E127" s="285"/>
      <c r="F127" s="323" t="s">
        <v>155</v>
      </c>
      <c r="G127" s="324">
        <v>1.61</v>
      </c>
      <c r="H127" s="428"/>
      <c r="I127" s="324">
        <f>G127*AO127</f>
        <v>0</v>
      </c>
      <c r="J127" s="324">
        <f>G127*AP127</f>
        <v>0</v>
      </c>
      <c r="K127" s="324">
        <f>G127*H127</f>
        <v>0</v>
      </c>
      <c r="L127" s="324">
        <v>0</v>
      </c>
      <c r="M127" s="324">
        <f>G127*L127</f>
        <v>0</v>
      </c>
      <c r="N127" s="325" t="s">
        <v>809</v>
      </c>
      <c r="O127" s="282"/>
      <c r="Z127" s="324">
        <f>IF(AQ127="5",BJ127,0)</f>
        <v>0</v>
      </c>
      <c r="AB127" s="324">
        <f>IF(AQ127="1",BH127,0)</f>
        <v>0</v>
      </c>
      <c r="AC127" s="324">
        <f>IF(AQ127="1",BI127,0)</f>
        <v>0</v>
      </c>
      <c r="AD127" s="324">
        <f>IF(AQ127="7",BH127,0)</f>
        <v>0</v>
      </c>
      <c r="AE127" s="324">
        <f>IF(AQ127="7",BI127,0)</f>
        <v>0</v>
      </c>
      <c r="AF127" s="324">
        <f>IF(AQ127="2",BH127,0)</f>
        <v>0</v>
      </c>
      <c r="AG127" s="324">
        <f>IF(AQ127="2",BI127,0)</f>
        <v>0</v>
      </c>
      <c r="AH127" s="324">
        <f>IF(AQ127="0",BJ127,0)</f>
        <v>0</v>
      </c>
      <c r="AI127" s="299" t="s">
        <v>805</v>
      </c>
      <c r="AJ127" s="324">
        <f>IF(AN127=0,K127,0)</f>
        <v>0</v>
      </c>
      <c r="AK127" s="324">
        <f>IF(AN127=15,K127,0)</f>
        <v>0</v>
      </c>
      <c r="AL127" s="324">
        <f>IF(AN127=21,K127,0)</f>
        <v>0</v>
      </c>
      <c r="AN127" s="324">
        <v>21</v>
      </c>
      <c r="AO127" s="324">
        <f>H127*0</f>
        <v>0</v>
      </c>
      <c r="AP127" s="324">
        <f>H127*(1-0)</f>
        <v>0</v>
      </c>
      <c r="AQ127" s="326" t="s">
        <v>829</v>
      </c>
      <c r="AV127" s="324">
        <f>AW127+AX127</f>
        <v>0</v>
      </c>
      <c r="AW127" s="324">
        <f>G127*AO127</f>
        <v>0</v>
      </c>
      <c r="AX127" s="324">
        <f>G127*AP127</f>
        <v>0</v>
      </c>
      <c r="AY127" s="326" t="s">
        <v>879</v>
      </c>
      <c r="AZ127" s="326" t="s">
        <v>821</v>
      </c>
      <c r="BA127" s="299" t="s">
        <v>813</v>
      </c>
      <c r="BC127" s="324">
        <f>AW127+AX127</f>
        <v>0</v>
      </c>
      <c r="BD127" s="324">
        <f>H127/(100-BE127)*100</f>
        <v>0</v>
      </c>
      <c r="BE127" s="324">
        <v>0</v>
      </c>
      <c r="BF127" s="324">
        <f>M127</f>
        <v>0</v>
      </c>
      <c r="BH127" s="324">
        <f>G127*AO127</f>
        <v>0</v>
      </c>
      <c r="BI127" s="324">
        <f>G127*AP127</f>
        <v>0</v>
      </c>
      <c r="BJ127" s="324">
        <f>G127*H127</f>
        <v>0</v>
      </c>
      <c r="BK127" s="324" t="s">
        <v>814</v>
      </c>
      <c r="BL127" s="324">
        <v>722</v>
      </c>
    </row>
    <row r="128" spans="1:64" x14ac:dyDescent="0.2">
      <c r="A128" s="316"/>
      <c r="B128" s="317" t="s">
        <v>805</v>
      </c>
      <c r="C128" s="317" t="s">
        <v>87</v>
      </c>
      <c r="D128" s="318" t="s">
        <v>88</v>
      </c>
      <c r="E128" s="318"/>
      <c r="F128" s="319" t="s">
        <v>771</v>
      </c>
      <c r="G128" s="319" t="s">
        <v>771</v>
      </c>
      <c r="H128" s="430"/>
      <c r="I128" s="320">
        <f>SUM(I129:I206)</f>
        <v>0</v>
      </c>
      <c r="J128" s="320">
        <f>SUM(J129:J206)</f>
        <v>0</v>
      </c>
      <c r="K128" s="320">
        <f>SUM(K129:K206)</f>
        <v>0</v>
      </c>
      <c r="L128" s="299"/>
      <c r="M128" s="320">
        <f>SUM(M129:M206)</f>
        <v>3.23705</v>
      </c>
      <c r="N128" s="321"/>
      <c r="O128" s="282"/>
      <c r="AI128" s="299" t="s">
        <v>805</v>
      </c>
      <c r="AS128" s="320">
        <f>SUM(AJ129:AJ206)</f>
        <v>0</v>
      </c>
      <c r="AT128" s="320">
        <f>SUM(AK129:AK206)</f>
        <v>0</v>
      </c>
      <c r="AU128" s="320">
        <f>SUM(AL129:AL206)</f>
        <v>0</v>
      </c>
    </row>
    <row r="129" spans="1:64" x14ac:dyDescent="0.2">
      <c r="A129" s="322" t="s">
        <v>1001</v>
      </c>
      <c r="B129" s="323" t="s">
        <v>805</v>
      </c>
      <c r="C129" s="323" t="s">
        <v>1002</v>
      </c>
      <c r="D129" s="285" t="s">
        <v>1003</v>
      </c>
      <c r="E129" s="285"/>
      <c r="F129" s="323" t="s">
        <v>486</v>
      </c>
      <c r="G129" s="324">
        <v>3</v>
      </c>
      <c r="H129" s="428"/>
      <c r="I129" s="324">
        <f>G129*AO129</f>
        <v>0</v>
      </c>
      <c r="J129" s="324">
        <f>G129*AP129</f>
        <v>0</v>
      </c>
      <c r="K129" s="324">
        <f>G129*H129</f>
        <v>0</v>
      </c>
      <c r="L129" s="324">
        <v>0</v>
      </c>
      <c r="M129" s="324">
        <f>G129*L129</f>
        <v>0</v>
      </c>
      <c r="N129" s="325" t="s">
        <v>809</v>
      </c>
      <c r="O129" s="282"/>
      <c r="Z129" s="324">
        <f>IF(AQ129="5",BJ129,0)</f>
        <v>0</v>
      </c>
      <c r="AB129" s="324">
        <f>IF(AQ129="1",BH129,0)</f>
        <v>0</v>
      </c>
      <c r="AC129" s="324">
        <f>IF(AQ129="1",BI129,0)</f>
        <v>0</v>
      </c>
      <c r="AD129" s="324">
        <f>IF(AQ129="7",BH129,0)</f>
        <v>0</v>
      </c>
      <c r="AE129" s="324">
        <f>IF(AQ129="7",BI129,0)</f>
        <v>0</v>
      </c>
      <c r="AF129" s="324">
        <f>IF(AQ129="2",BH129,0)</f>
        <v>0</v>
      </c>
      <c r="AG129" s="324">
        <f>IF(AQ129="2",BI129,0)</f>
        <v>0</v>
      </c>
      <c r="AH129" s="324">
        <f>IF(AQ129="0",BJ129,0)</f>
        <v>0</v>
      </c>
      <c r="AI129" s="299" t="s">
        <v>805</v>
      </c>
      <c r="AJ129" s="324">
        <f>IF(AN129=0,K129,0)</f>
        <v>0</v>
      </c>
      <c r="AK129" s="324">
        <f>IF(AN129=15,K129,0)</f>
        <v>0</v>
      </c>
      <c r="AL129" s="324">
        <f>IF(AN129=21,K129,0)</f>
        <v>0</v>
      </c>
      <c r="AN129" s="324">
        <v>21</v>
      </c>
      <c r="AO129" s="324">
        <f>H129*0</f>
        <v>0</v>
      </c>
      <c r="AP129" s="324">
        <f>H129*(1-0)</f>
        <v>0</v>
      </c>
      <c r="AQ129" s="326" t="s">
        <v>810</v>
      </c>
      <c r="AV129" s="324">
        <f>AW129+AX129</f>
        <v>0</v>
      </c>
      <c r="AW129" s="324">
        <f>G129*AO129</f>
        <v>0</v>
      </c>
      <c r="AX129" s="324">
        <f>G129*AP129</f>
        <v>0</v>
      </c>
      <c r="AY129" s="326" t="s">
        <v>1004</v>
      </c>
      <c r="AZ129" s="326" t="s">
        <v>821</v>
      </c>
      <c r="BA129" s="299" t="s">
        <v>813</v>
      </c>
      <c r="BC129" s="324">
        <f>AW129+AX129</f>
        <v>0</v>
      </c>
      <c r="BD129" s="324">
        <f>H129/(100-BE129)*100</f>
        <v>0</v>
      </c>
      <c r="BE129" s="324">
        <v>0</v>
      </c>
      <c r="BF129" s="324">
        <f>M129</f>
        <v>0</v>
      </c>
      <c r="BH129" s="324">
        <f>G129*AO129</f>
        <v>0</v>
      </c>
      <c r="BI129" s="324">
        <f>G129*AP129</f>
        <v>0</v>
      </c>
      <c r="BJ129" s="324">
        <f>G129*H129</f>
        <v>0</v>
      </c>
      <c r="BK129" s="324" t="s">
        <v>814</v>
      </c>
      <c r="BL129" s="324">
        <v>725</v>
      </c>
    </row>
    <row r="130" spans="1:64" x14ac:dyDescent="0.2">
      <c r="A130" s="282"/>
      <c r="D130" s="327" t="s">
        <v>1005</v>
      </c>
      <c r="E130" s="327"/>
      <c r="G130" s="328">
        <v>3</v>
      </c>
      <c r="H130" s="429"/>
      <c r="N130" s="329"/>
      <c r="O130" s="282"/>
    </row>
    <row r="131" spans="1:64" x14ac:dyDescent="0.2">
      <c r="A131" s="322" t="s">
        <v>1006</v>
      </c>
      <c r="B131" s="323" t="s">
        <v>805</v>
      </c>
      <c r="C131" s="323" t="s">
        <v>1007</v>
      </c>
      <c r="D131" s="285" t="s">
        <v>1008</v>
      </c>
      <c r="E131" s="285"/>
      <c r="F131" s="323" t="s">
        <v>230</v>
      </c>
      <c r="G131" s="324">
        <v>3</v>
      </c>
      <c r="H131" s="428"/>
      <c r="I131" s="324">
        <f>G131*AO131</f>
        <v>0</v>
      </c>
      <c r="J131" s="324">
        <f>G131*AP131</f>
        <v>0</v>
      </c>
      <c r="K131" s="324">
        <f>G131*H131</f>
        <v>0</v>
      </c>
      <c r="L131" s="324">
        <v>3.2000000000000003E-4</v>
      </c>
      <c r="M131" s="324">
        <f>G131*L131</f>
        <v>9.6000000000000013E-4</v>
      </c>
      <c r="N131" s="325" t="s">
        <v>809</v>
      </c>
      <c r="O131" s="282"/>
      <c r="Z131" s="324">
        <f>IF(AQ131="5",BJ131,0)</f>
        <v>0</v>
      </c>
      <c r="AB131" s="324">
        <f>IF(AQ131="1",BH131,0)</f>
        <v>0</v>
      </c>
      <c r="AC131" s="324">
        <f>IF(AQ131="1",BI131,0)</f>
        <v>0</v>
      </c>
      <c r="AD131" s="324">
        <f>IF(AQ131="7",BH131,0)</f>
        <v>0</v>
      </c>
      <c r="AE131" s="324">
        <f>IF(AQ131="7",BI131,0)</f>
        <v>0</v>
      </c>
      <c r="AF131" s="324">
        <f>IF(AQ131="2",BH131,0)</f>
        <v>0</v>
      </c>
      <c r="AG131" s="324">
        <f>IF(AQ131="2",BI131,0)</f>
        <v>0</v>
      </c>
      <c r="AH131" s="324">
        <f>IF(AQ131="0",BJ131,0)</f>
        <v>0</v>
      </c>
      <c r="AI131" s="299" t="s">
        <v>805</v>
      </c>
      <c r="AJ131" s="324">
        <f>IF(AN131=0,K131,0)</f>
        <v>0</v>
      </c>
      <c r="AK131" s="324">
        <f>IF(AN131=15,K131,0)</f>
        <v>0</v>
      </c>
      <c r="AL131" s="324">
        <f>IF(AN131=21,K131,0)</f>
        <v>0</v>
      </c>
      <c r="AN131" s="324">
        <v>21</v>
      </c>
      <c r="AO131" s="324">
        <f>H131*1</f>
        <v>0</v>
      </c>
      <c r="AP131" s="324">
        <f>H131*(1-1)</f>
        <v>0</v>
      </c>
      <c r="AQ131" s="326" t="s">
        <v>810</v>
      </c>
      <c r="AV131" s="324">
        <f>AW131+AX131</f>
        <v>0</v>
      </c>
      <c r="AW131" s="324">
        <f>G131*AO131</f>
        <v>0</v>
      </c>
      <c r="AX131" s="324">
        <f>G131*AP131</f>
        <v>0</v>
      </c>
      <c r="AY131" s="326" t="s">
        <v>1004</v>
      </c>
      <c r="AZ131" s="326" t="s">
        <v>821</v>
      </c>
      <c r="BA131" s="299" t="s">
        <v>813</v>
      </c>
      <c r="BC131" s="324">
        <f>AW131+AX131</f>
        <v>0</v>
      </c>
      <c r="BD131" s="324">
        <f>H131/(100-BE131)*100</f>
        <v>0</v>
      </c>
      <c r="BE131" s="324">
        <v>0</v>
      </c>
      <c r="BF131" s="324">
        <f>M131</f>
        <v>9.6000000000000013E-4</v>
      </c>
      <c r="BH131" s="324">
        <f>G131*AO131</f>
        <v>0</v>
      </c>
      <c r="BI131" s="324">
        <f>G131*AP131</f>
        <v>0</v>
      </c>
      <c r="BJ131" s="324">
        <f>G131*H131</f>
        <v>0</v>
      </c>
      <c r="BK131" s="324" t="s">
        <v>934</v>
      </c>
      <c r="BL131" s="324">
        <v>725</v>
      </c>
    </row>
    <row r="132" spans="1:64" x14ac:dyDescent="0.2">
      <c r="A132" s="282"/>
      <c r="D132" s="327" t="s">
        <v>63</v>
      </c>
      <c r="E132" s="327"/>
      <c r="G132" s="328">
        <v>3</v>
      </c>
      <c r="H132" s="429"/>
      <c r="N132" s="329"/>
      <c r="O132" s="282"/>
    </row>
    <row r="133" spans="1:64" x14ac:dyDescent="0.2">
      <c r="A133" s="322" t="s">
        <v>1009</v>
      </c>
      <c r="B133" s="323" t="s">
        <v>805</v>
      </c>
      <c r="C133" s="323" t="s">
        <v>1010</v>
      </c>
      <c r="D133" s="285" t="s">
        <v>1011</v>
      </c>
      <c r="E133" s="285"/>
      <c r="F133" s="323" t="s">
        <v>230</v>
      </c>
      <c r="G133" s="324">
        <v>3</v>
      </c>
      <c r="H133" s="428"/>
      <c r="I133" s="324">
        <f>G133*AO133</f>
        <v>0</v>
      </c>
      <c r="J133" s="324">
        <f>G133*AP133</f>
        <v>0</v>
      </c>
      <c r="K133" s="324">
        <f>G133*H133</f>
        <v>0</v>
      </c>
      <c r="L133" s="324">
        <v>7.0099999999999997E-3</v>
      </c>
      <c r="M133" s="324">
        <f>G133*L133</f>
        <v>2.103E-2</v>
      </c>
      <c r="N133" s="325" t="s">
        <v>809</v>
      </c>
      <c r="O133" s="282"/>
      <c r="Z133" s="324">
        <f>IF(AQ133="5",BJ133,0)</f>
        <v>0</v>
      </c>
      <c r="AB133" s="324">
        <f>IF(AQ133="1",BH133,0)</f>
        <v>0</v>
      </c>
      <c r="AC133" s="324">
        <f>IF(AQ133="1",BI133,0)</f>
        <v>0</v>
      </c>
      <c r="AD133" s="324">
        <f>IF(AQ133="7",BH133,0)</f>
        <v>0</v>
      </c>
      <c r="AE133" s="324">
        <f>IF(AQ133="7",BI133,0)</f>
        <v>0</v>
      </c>
      <c r="AF133" s="324">
        <f>IF(AQ133="2",BH133,0)</f>
        <v>0</v>
      </c>
      <c r="AG133" s="324">
        <f>IF(AQ133="2",BI133,0)</f>
        <v>0</v>
      </c>
      <c r="AH133" s="324">
        <f>IF(AQ133="0",BJ133,0)</f>
        <v>0</v>
      </c>
      <c r="AI133" s="299" t="s">
        <v>805</v>
      </c>
      <c r="AJ133" s="324">
        <f>IF(AN133=0,K133,0)</f>
        <v>0</v>
      </c>
      <c r="AK133" s="324">
        <f>IF(AN133=15,K133,0)</f>
        <v>0</v>
      </c>
      <c r="AL133" s="324">
        <f>IF(AN133=21,K133,0)</f>
        <v>0</v>
      </c>
      <c r="AN133" s="324">
        <v>21</v>
      </c>
      <c r="AO133" s="324">
        <f>H133*1</f>
        <v>0</v>
      </c>
      <c r="AP133" s="324">
        <f>H133*(1-1)</f>
        <v>0</v>
      </c>
      <c r="AQ133" s="326" t="s">
        <v>810</v>
      </c>
      <c r="AV133" s="324">
        <f>AW133+AX133</f>
        <v>0</v>
      </c>
      <c r="AW133" s="324">
        <f>G133*AO133</f>
        <v>0</v>
      </c>
      <c r="AX133" s="324">
        <f>G133*AP133</f>
        <v>0</v>
      </c>
      <c r="AY133" s="326" t="s">
        <v>1004</v>
      </c>
      <c r="AZ133" s="326" t="s">
        <v>821</v>
      </c>
      <c r="BA133" s="299" t="s">
        <v>813</v>
      </c>
      <c r="BC133" s="324">
        <f>AW133+AX133</f>
        <v>0</v>
      </c>
      <c r="BD133" s="324">
        <f>H133/(100-BE133)*100</f>
        <v>0</v>
      </c>
      <c r="BE133" s="324">
        <v>0</v>
      </c>
      <c r="BF133" s="324">
        <f>M133</f>
        <v>2.103E-2</v>
      </c>
      <c r="BH133" s="324">
        <f>G133*AO133</f>
        <v>0</v>
      </c>
      <c r="BI133" s="324">
        <f>G133*AP133</f>
        <v>0</v>
      </c>
      <c r="BJ133" s="324">
        <f>G133*H133</f>
        <v>0</v>
      </c>
      <c r="BK133" s="324" t="s">
        <v>934</v>
      </c>
      <c r="BL133" s="324">
        <v>725</v>
      </c>
    </row>
    <row r="134" spans="1:64" x14ac:dyDescent="0.2">
      <c r="A134" s="282"/>
      <c r="D134" s="327" t="s">
        <v>63</v>
      </c>
      <c r="E134" s="327"/>
      <c r="G134" s="328">
        <v>3</v>
      </c>
      <c r="H134" s="429"/>
      <c r="N134" s="329"/>
      <c r="O134" s="282"/>
    </row>
    <row r="135" spans="1:64" x14ac:dyDescent="0.2">
      <c r="A135" s="322" t="s">
        <v>1012</v>
      </c>
      <c r="B135" s="323" t="s">
        <v>805</v>
      </c>
      <c r="C135" s="323" t="s">
        <v>1013</v>
      </c>
      <c r="D135" s="285" t="s">
        <v>1014</v>
      </c>
      <c r="E135" s="285"/>
      <c r="F135" s="323" t="s">
        <v>486</v>
      </c>
      <c r="G135" s="324">
        <v>3</v>
      </c>
      <c r="H135" s="428"/>
      <c r="I135" s="324">
        <f>G135*AO135</f>
        <v>0</v>
      </c>
      <c r="J135" s="324">
        <f>G135*AP135</f>
        <v>0</v>
      </c>
      <c r="K135" s="324">
        <f>G135*H135</f>
        <v>0</v>
      </c>
      <c r="L135" s="324">
        <v>1.772E-2</v>
      </c>
      <c r="M135" s="324">
        <f>G135*L135</f>
        <v>5.3159999999999999E-2</v>
      </c>
      <c r="N135" s="325" t="s">
        <v>809</v>
      </c>
      <c r="O135" s="282"/>
      <c r="Z135" s="324">
        <f>IF(AQ135="5",BJ135,0)</f>
        <v>0</v>
      </c>
      <c r="AB135" s="324">
        <f>IF(AQ135="1",BH135,0)</f>
        <v>0</v>
      </c>
      <c r="AC135" s="324">
        <f>IF(AQ135="1",BI135,0)</f>
        <v>0</v>
      </c>
      <c r="AD135" s="324">
        <f>IF(AQ135="7",BH135,0)</f>
        <v>0</v>
      </c>
      <c r="AE135" s="324">
        <f>IF(AQ135="7",BI135,0)</f>
        <v>0</v>
      </c>
      <c r="AF135" s="324">
        <f>IF(AQ135="2",BH135,0)</f>
        <v>0</v>
      </c>
      <c r="AG135" s="324">
        <f>IF(AQ135="2",BI135,0)</f>
        <v>0</v>
      </c>
      <c r="AH135" s="324">
        <f>IF(AQ135="0",BJ135,0)</f>
        <v>0</v>
      </c>
      <c r="AI135" s="299" t="s">
        <v>805</v>
      </c>
      <c r="AJ135" s="324">
        <f>IF(AN135=0,K135,0)</f>
        <v>0</v>
      </c>
      <c r="AK135" s="324">
        <f>IF(AN135=15,K135,0)</f>
        <v>0</v>
      </c>
      <c r="AL135" s="324">
        <f>IF(AN135=21,K135,0)</f>
        <v>0</v>
      </c>
      <c r="AN135" s="324">
        <v>21</v>
      </c>
      <c r="AO135" s="324">
        <f>H135*0.881725997842503</f>
        <v>0</v>
      </c>
      <c r="AP135" s="324">
        <f>H135*(1-0.881725997842503)</f>
        <v>0</v>
      </c>
      <c r="AQ135" s="326" t="s">
        <v>810</v>
      </c>
      <c r="AV135" s="324">
        <f>AW135+AX135</f>
        <v>0</v>
      </c>
      <c r="AW135" s="324">
        <f>G135*AO135</f>
        <v>0</v>
      </c>
      <c r="AX135" s="324">
        <f>G135*AP135</f>
        <v>0</v>
      </c>
      <c r="AY135" s="326" t="s">
        <v>1004</v>
      </c>
      <c r="AZ135" s="326" t="s">
        <v>821</v>
      </c>
      <c r="BA135" s="299" t="s">
        <v>813</v>
      </c>
      <c r="BC135" s="324">
        <f>AW135+AX135</f>
        <v>0</v>
      </c>
      <c r="BD135" s="324">
        <f>H135/(100-BE135)*100</f>
        <v>0</v>
      </c>
      <c r="BE135" s="324">
        <v>0</v>
      </c>
      <c r="BF135" s="324">
        <f>M135</f>
        <v>5.3159999999999999E-2</v>
      </c>
      <c r="BH135" s="324">
        <f>G135*AO135</f>
        <v>0</v>
      </c>
      <c r="BI135" s="324">
        <f>G135*AP135</f>
        <v>0</v>
      </c>
      <c r="BJ135" s="324">
        <f>G135*H135</f>
        <v>0</v>
      </c>
      <c r="BK135" s="324" t="s">
        <v>814</v>
      </c>
      <c r="BL135" s="324">
        <v>725</v>
      </c>
    </row>
    <row r="136" spans="1:64" ht="14.65" customHeight="1" x14ac:dyDescent="0.2">
      <c r="A136" s="282"/>
      <c r="D136" s="330" t="s">
        <v>1015</v>
      </c>
      <c r="E136" s="330"/>
      <c r="F136" s="330"/>
      <c r="G136" s="330"/>
      <c r="H136" s="431"/>
      <c r="I136" s="330"/>
      <c r="J136" s="330"/>
      <c r="K136" s="330"/>
      <c r="L136" s="330"/>
      <c r="M136" s="330"/>
      <c r="N136" s="330"/>
      <c r="O136" s="331"/>
    </row>
    <row r="137" spans="1:64" x14ac:dyDescent="0.2">
      <c r="A137" s="282"/>
      <c r="D137" s="327" t="s">
        <v>63</v>
      </c>
      <c r="E137" s="327"/>
      <c r="G137" s="328">
        <v>3</v>
      </c>
      <c r="H137" s="429"/>
      <c r="N137" s="329"/>
      <c r="O137" s="282"/>
    </row>
    <row r="138" spans="1:64" x14ac:dyDescent="0.2">
      <c r="A138" s="322" t="s">
        <v>1016</v>
      </c>
      <c r="B138" s="323" t="s">
        <v>805</v>
      </c>
      <c r="C138" s="323" t="s">
        <v>1017</v>
      </c>
      <c r="D138" s="285" t="s">
        <v>1018</v>
      </c>
      <c r="E138" s="285"/>
      <c r="F138" s="323" t="s">
        <v>486</v>
      </c>
      <c r="G138" s="324">
        <v>18</v>
      </c>
      <c r="H138" s="428"/>
      <c r="I138" s="324">
        <f>G138*AO138</f>
        <v>0</v>
      </c>
      <c r="J138" s="324">
        <f>G138*AP138</f>
        <v>0</v>
      </c>
      <c r="K138" s="324">
        <f>G138*H138</f>
        <v>0</v>
      </c>
      <c r="L138" s="324">
        <v>3.4169999999999999E-2</v>
      </c>
      <c r="M138" s="324">
        <f>G138*L138</f>
        <v>0.61505999999999994</v>
      </c>
      <c r="N138" s="325" t="s">
        <v>809</v>
      </c>
      <c r="O138" s="282"/>
      <c r="Z138" s="324">
        <f>IF(AQ138="5",BJ138,0)</f>
        <v>0</v>
      </c>
      <c r="AB138" s="324">
        <f>IF(AQ138="1",BH138,0)</f>
        <v>0</v>
      </c>
      <c r="AC138" s="324">
        <f>IF(AQ138="1",BI138,0)</f>
        <v>0</v>
      </c>
      <c r="AD138" s="324">
        <f>IF(AQ138="7",BH138,0)</f>
        <v>0</v>
      </c>
      <c r="AE138" s="324">
        <f>IF(AQ138="7",BI138,0)</f>
        <v>0</v>
      </c>
      <c r="AF138" s="324">
        <f>IF(AQ138="2",BH138,0)</f>
        <v>0</v>
      </c>
      <c r="AG138" s="324">
        <f>IF(AQ138="2",BI138,0)</f>
        <v>0</v>
      </c>
      <c r="AH138" s="324">
        <f>IF(AQ138="0",BJ138,0)</f>
        <v>0</v>
      </c>
      <c r="AI138" s="299" t="s">
        <v>805</v>
      </c>
      <c r="AJ138" s="324">
        <f>IF(AN138=0,K138,0)</f>
        <v>0</v>
      </c>
      <c r="AK138" s="324">
        <f>IF(AN138=15,K138,0)</f>
        <v>0</v>
      </c>
      <c r="AL138" s="324">
        <f>IF(AN138=21,K138,0)</f>
        <v>0</v>
      </c>
      <c r="AN138" s="324">
        <v>21</v>
      </c>
      <c r="AO138" s="324">
        <f>H138*0.915106981416374</f>
        <v>0</v>
      </c>
      <c r="AP138" s="324">
        <f>H138*(1-0.915106981416374)</f>
        <v>0</v>
      </c>
      <c r="AQ138" s="326" t="s">
        <v>810</v>
      </c>
      <c r="AV138" s="324">
        <f>AW138+AX138</f>
        <v>0</v>
      </c>
      <c r="AW138" s="324">
        <f>G138*AO138</f>
        <v>0</v>
      </c>
      <c r="AX138" s="324">
        <f>G138*AP138</f>
        <v>0</v>
      </c>
      <c r="AY138" s="326" t="s">
        <v>1004</v>
      </c>
      <c r="AZ138" s="326" t="s">
        <v>821</v>
      </c>
      <c r="BA138" s="299" t="s">
        <v>813</v>
      </c>
      <c r="BC138" s="324">
        <f>AW138+AX138</f>
        <v>0</v>
      </c>
      <c r="BD138" s="324">
        <f>H138/(100-BE138)*100</f>
        <v>0</v>
      </c>
      <c r="BE138" s="324">
        <v>0</v>
      </c>
      <c r="BF138" s="324">
        <f>M138</f>
        <v>0.61505999999999994</v>
      </c>
      <c r="BH138" s="324">
        <f>G138*AO138</f>
        <v>0</v>
      </c>
      <c r="BI138" s="324">
        <f>G138*AP138</f>
        <v>0</v>
      </c>
      <c r="BJ138" s="324">
        <f>G138*H138</f>
        <v>0</v>
      </c>
      <c r="BK138" s="324" t="s">
        <v>814</v>
      </c>
      <c r="BL138" s="324">
        <v>725</v>
      </c>
    </row>
    <row r="139" spans="1:64" x14ac:dyDescent="0.2">
      <c r="A139" s="282"/>
      <c r="D139" s="327" t="s">
        <v>871</v>
      </c>
      <c r="E139" s="327"/>
      <c r="G139" s="328">
        <v>18</v>
      </c>
      <c r="H139" s="429"/>
      <c r="N139" s="329"/>
      <c r="O139" s="282"/>
    </row>
    <row r="140" spans="1:64" x14ac:dyDescent="0.2">
      <c r="A140" s="322" t="s">
        <v>1019</v>
      </c>
      <c r="B140" s="323" t="s">
        <v>805</v>
      </c>
      <c r="C140" s="323" t="s">
        <v>1020</v>
      </c>
      <c r="D140" s="285" t="s">
        <v>1021</v>
      </c>
      <c r="E140" s="285"/>
      <c r="F140" s="323" t="s">
        <v>486</v>
      </c>
      <c r="G140" s="324">
        <v>5</v>
      </c>
      <c r="H140" s="428"/>
      <c r="I140" s="324">
        <f>G140*AO140</f>
        <v>0</v>
      </c>
      <c r="J140" s="324">
        <f>G140*AP140</f>
        <v>0</v>
      </c>
      <c r="K140" s="324">
        <f>G140*H140</f>
        <v>0</v>
      </c>
      <c r="L140" s="324">
        <v>1.521E-2</v>
      </c>
      <c r="M140" s="324">
        <f>G140*L140</f>
        <v>7.6049999999999993E-2</v>
      </c>
      <c r="N140" s="325" t="s">
        <v>809</v>
      </c>
      <c r="O140" s="282"/>
      <c r="Z140" s="324">
        <f>IF(AQ140="5",BJ140,0)</f>
        <v>0</v>
      </c>
      <c r="AB140" s="324">
        <f>IF(AQ140="1",BH140,0)</f>
        <v>0</v>
      </c>
      <c r="AC140" s="324">
        <f>IF(AQ140="1",BI140,0)</f>
        <v>0</v>
      </c>
      <c r="AD140" s="324">
        <f>IF(AQ140="7",BH140,0)</f>
        <v>0</v>
      </c>
      <c r="AE140" s="324">
        <f>IF(AQ140="7",BI140,0)</f>
        <v>0</v>
      </c>
      <c r="AF140" s="324">
        <f>IF(AQ140="2",BH140,0)</f>
        <v>0</v>
      </c>
      <c r="AG140" s="324">
        <f>IF(AQ140="2",BI140,0)</f>
        <v>0</v>
      </c>
      <c r="AH140" s="324">
        <f>IF(AQ140="0",BJ140,0)</f>
        <v>0</v>
      </c>
      <c r="AI140" s="299" t="s">
        <v>805</v>
      </c>
      <c r="AJ140" s="324">
        <f>IF(AN140=0,K140,0)</f>
        <v>0</v>
      </c>
      <c r="AK140" s="324">
        <f>IF(AN140=15,K140,0)</f>
        <v>0</v>
      </c>
      <c r="AL140" s="324">
        <f>IF(AN140=21,K140,0)</f>
        <v>0</v>
      </c>
      <c r="AN140" s="324">
        <v>21</v>
      </c>
      <c r="AO140" s="324">
        <f>H140*0.789345911949686</f>
        <v>0</v>
      </c>
      <c r="AP140" s="324">
        <f>H140*(1-0.789345911949686)</f>
        <v>0</v>
      </c>
      <c r="AQ140" s="326" t="s">
        <v>810</v>
      </c>
      <c r="AV140" s="324">
        <f>AW140+AX140</f>
        <v>0</v>
      </c>
      <c r="AW140" s="324">
        <f>G140*AO140</f>
        <v>0</v>
      </c>
      <c r="AX140" s="324">
        <f>G140*AP140</f>
        <v>0</v>
      </c>
      <c r="AY140" s="326" t="s">
        <v>1004</v>
      </c>
      <c r="AZ140" s="326" t="s">
        <v>821</v>
      </c>
      <c r="BA140" s="299" t="s">
        <v>813</v>
      </c>
      <c r="BC140" s="324">
        <f>AW140+AX140</f>
        <v>0</v>
      </c>
      <c r="BD140" s="324">
        <f>H140/(100-BE140)*100</f>
        <v>0</v>
      </c>
      <c r="BE140" s="324">
        <v>0</v>
      </c>
      <c r="BF140" s="324">
        <f>M140</f>
        <v>7.6049999999999993E-2</v>
      </c>
      <c r="BH140" s="324">
        <f>G140*AO140</f>
        <v>0</v>
      </c>
      <c r="BI140" s="324">
        <f>G140*AP140</f>
        <v>0</v>
      </c>
      <c r="BJ140" s="324">
        <f>G140*H140</f>
        <v>0</v>
      </c>
      <c r="BK140" s="324" t="s">
        <v>814</v>
      </c>
      <c r="BL140" s="324">
        <v>725</v>
      </c>
    </row>
    <row r="141" spans="1:64" x14ac:dyDescent="0.2">
      <c r="A141" s="282"/>
      <c r="D141" s="327" t="s">
        <v>829</v>
      </c>
      <c r="E141" s="327"/>
      <c r="G141" s="328">
        <v>5</v>
      </c>
      <c r="H141" s="429"/>
      <c r="N141" s="329"/>
      <c r="O141" s="282"/>
    </row>
    <row r="142" spans="1:64" x14ac:dyDescent="0.2">
      <c r="A142" s="322" t="s">
        <v>1022</v>
      </c>
      <c r="B142" s="323" t="s">
        <v>805</v>
      </c>
      <c r="C142" s="323" t="s">
        <v>1020</v>
      </c>
      <c r="D142" s="285" t="s">
        <v>1023</v>
      </c>
      <c r="E142" s="285"/>
      <c r="F142" s="323" t="s">
        <v>486</v>
      </c>
      <c r="G142" s="324">
        <v>24</v>
      </c>
      <c r="H142" s="428"/>
      <c r="I142" s="324">
        <f>G142*AO142</f>
        <v>0</v>
      </c>
      <c r="J142" s="324">
        <f>G142*AP142</f>
        <v>0</v>
      </c>
      <c r="K142" s="324">
        <f>G142*H142</f>
        <v>0</v>
      </c>
      <c r="L142" s="324">
        <v>1.521E-2</v>
      </c>
      <c r="M142" s="324">
        <f>G142*L142</f>
        <v>0.36503999999999998</v>
      </c>
      <c r="N142" s="325" t="s">
        <v>809</v>
      </c>
      <c r="O142" s="282"/>
    </row>
    <row r="143" spans="1:64" x14ac:dyDescent="0.2">
      <c r="A143" s="282"/>
      <c r="D143" s="327" t="s">
        <v>901</v>
      </c>
      <c r="E143" s="327"/>
      <c r="G143" s="328">
        <v>24</v>
      </c>
      <c r="H143" s="429"/>
      <c r="N143" s="329"/>
      <c r="O143" s="282"/>
    </row>
    <row r="144" spans="1:64" x14ac:dyDescent="0.2">
      <c r="A144" s="322" t="s">
        <v>1024</v>
      </c>
      <c r="B144" s="323" t="s">
        <v>805</v>
      </c>
      <c r="C144" s="323" t="s">
        <v>1025</v>
      </c>
      <c r="D144" s="285" t="s">
        <v>1026</v>
      </c>
      <c r="E144" s="285"/>
      <c r="F144" s="323" t="s">
        <v>230</v>
      </c>
      <c r="G144" s="324">
        <v>29</v>
      </c>
      <c r="H144" s="428"/>
      <c r="I144" s="324">
        <f>G144*AO144</f>
        <v>0</v>
      </c>
      <c r="J144" s="324">
        <f>G144*AP144</f>
        <v>0</v>
      </c>
      <c r="K144" s="324">
        <f>G144*H144</f>
        <v>0</v>
      </c>
      <c r="L144" s="324">
        <v>0</v>
      </c>
      <c r="M144" s="324">
        <f>G144*L144</f>
        <v>0</v>
      </c>
      <c r="N144" s="325" t="s">
        <v>809</v>
      </c>
      <c r="O144" s="282"/>
      <c r="Z144" s="324">
        <f>IF(AQ144="5",BJ144,0)</f>
        <v>0</v>
      </c>
      <c r="AB144" s="324">
        <f>IF(AQ144="1",BH144,0)</f>
        <v>0</v>
      </c>
      <c r="AC144" s="324">
        <f>IF(AQ144="1",BI144,0)</f>
        <v>0</v>
      </c>
      <c r="AD144" s="324">
        <f>IF(AQ144="7",BH144,0)</f>
        <v>0</v>
      </c>
      <c r="AE144" s="324">
        <f>IF(AQ144="7",BI144,0)</f>
        <v>0</v>
      </c>
      <c r="AF144" s="324">
        <f>IF(AQ144="2",BH144,0)</f>
        <v>0</v>
      </c>
      <c r="AG144" s="324">
        <f>IF(AQ144="2",BI144,0)</f>
        <v>0</v>
      </c>
      <c r="AH144" s="324">
        <f>IF(AQ144="0",BJ144,0)</f>
        <v>0</v>
      </c>
      <c r="AI144" s="299" t="s">
        <v>805</v>
      </c>
      <c r="AJ144" s="324">
        <f>IF(AN144=0,K144,0)</f>
        <v>0</v>
      </c>
      <c r="AK144" s="324">
        <f>IF(AN144=15,K144,0)</f>
        <v>0</v>
      </c>
      <c r="AL144" s="324">
        <f>IF(AN144=21,K144,0)</f>
        <v>0</v>
      </c>
      <c r="AN144" s="324">
        <v>21</v>
      </c>
      <c r="AO144" s="324">
        <f>H144*0.820742659758204</f>
        <v>0</v>
      </c>
      <c r="AP144" s="324">
        <f>H144*(1-0.820742659758204)</f>
        <v>0</v>
      </c>
      <c r="AQ144" s="326" t="s">
        <v>810</v>
      </c>
      <c r="AV144" s="324">
        <f>AW144+AX144</f>
        <v>0</v>
      </c>
      <c r="AW144" s="324">
        <f>G144*AO144</f>
        <v>0</v>
      </c>
      <c r="AX144" s="324">
        <f>G144*AP144</f>
        <v>0</v>
      </c>
      <c r="AY144" s="326" t="s">
        <v>1004</v>
      </c>
      <c r="AZ144" s="326" t="s">
        <v>821</v>
      </c>
      <c r="BA144" s="299" t="s">
        <v>813</v>
      </c>
      <c r="BC144" s="324">
        <f>AW144+AX144</f>
        <v>0</v>
      </c>
      <c r="BD144" s="324">
        <f>H144/(100-BE144)*100</f>
        <v>0</v>
      </c>
      <c r="BE144" s="324">
        <v>0</v>
      </c>
      <c r="BF144" s="324">
        <f>M144</f>
        <v>0</v>
      </c>
      <c r="BH144" s="324">
        <f>G144*AO144</f>
        <v>0</v>
      </c>
      <c r="BI144" s="324">
        <f>G144*AP144</f>
        <v>0</v>
      </c>
      <c r="BJ144" s="324">
        <f>G144*H144</f>
        <v>0</v>
      </c>
      <c r="BK144" s="324" t="s">
        <v>814</v>
      </c>
      <c r="BL144" s="324">
        <v>725</v>
      </c>
    </row>
    <row r="145" spans="1:64" x14ac:dyDescent="0.2">
      <c r="A145" s="282"/>
      <c r="D145" s="327" t="s">
        <v>922</v>
      </c>
      <c r="E145" s="327"/>
      <c r="G145" s="328">
        <v>29</v>
      </c>
      <c r="H145" s="429"/>
      <c r="N145" s="329"/>
      <c r="O145" s="282"/>
    </row>
    <row r="146" spans="1:64" x14ac:dyDescent="0.2">
      <c r="A146" s="322" t="s">
        <v>1027</v>
      </c>
      <c r="B146" s="323" t="s">
        <v>805</v>
      </c>
      <c r="C146" s="323" t="s">
        <v>1028</v>
      </c>
      <c r="D146" s="285" t="s">
        <v>1029</v>
      </c>
      <c r="E146" s="285"/>
      <c r="F146" s="323" t="s">
        <v>486</v>
      </c>
      <c r="G146" s="324">
        <v>87</v>
      </c>
      <c r="H146" s="428"/>
      <c r="I146" s="324">
        <f>G146*AO146</f>
        <v>0</v>
      </c>
      <c r="J146" s="324">
        <f>G146*AP146</f>
        <v>0</v>
      </c>
      <c r="K146" s="324">
        <f>G146*H146</f>
        <v>0</v>
      </c>
      <c r="L146" s="324">
        <v>2.4000000000000001E-4</v>
      </c>
      <c r="M146" s="324">
        <f>G146*L146</f>
        <v>2.0879999999999999E-2</v>
      </c>
      <c r="N146" s="325" t="s">
        <v>809</v>
      </c>
      <c r="O146" s="282"/>
      <c r="Z146" s="324">
        <f>IF(AQ146="5",BJ146,0)</f>
        <v>0</v>
      </c>
      <c r="AB146" s="324">
        <f>IF(AQ146="1",BH146,0)</f>
        <v>0</v>
      </c>
      <c r="AC146" s="324">
        <f>IF(AQ146="1",BI146,0)</f>
        <v>0</v>
      </c>
      <c r="AD146" s="324">
        <f>IF(AQ146="7",BH146,0)</f>
        <v>0</v>
      </c>
      <c r="AE146" s="324">
        <f>IF(AQ146="7",BI146,0)</f>
        <v>0</v>
      </c>
      <c r="AF146" s="324">
        <f>IF(AQ146="2",BH146,0)</f>
        <v>0</v>
      </c>
      <c r="AG146" s="324">
        <f>IF(AQ146="2",BI146,0)</f>
        <v>0</v>
      </c>
      <c r="AH146" s="324">
        <f>IF(AQ146="0",BJ146,0)</f>
        <v>0</v>
      </c>
      <c r="AI146" s="299" t="s">
        <v>805</v>
      </c>
      <c r="AJ146" s="324">
        <f>IF(AN146=0,K146,0)</f>
        <v>0</v>
      </c>
      <c r="AK146" s="324">
        <f>IF(AN146=15,K146,0)</f>
        <v>0</v>
      </c>
      <c r="AL146" s="324">
        <f>IF(AN146=21,K146,0)</f>
        <v>0</v>
      </c>
      <c r="AN146" s="324">
        <v>21</v>
      </c>
      <c r="AO146" s="324">
        <f>H146*0.837088607594937</f>
        <v>0</v>
      </c>
      <c r="AP146" s="324">
        <f>H146*(1-0.837088607594937)</f>
        <v>0</v>
      </c>
      <c r="AQ146" s="326" t="s">
        <v>810</v>
      </c>
      <c r="AV146" s="324">
        <f>AW146+AX146</f>
        <v>0</v>
      </c>
      <c r="AW146" s="324">
        <f>G146*AO146</f>
        <v>0</v>
      </c>
      <c r="AX146" s="324">
        <f>G146*AP146</f>
        <v>0</v>
      </c>
      <c r="AY146" s="326" t="s">
        <v>1004</v>
      </c>
      <c r="AZ146" s="326" t="s">
        <v>821</v>
      </c>
      <c r="BA146" s="299" t="s">
        <v>813</v>
      </c>
      <c r="BC146" s="324">
        <f>AW146+AX146</f>
        <v>0</v>
      </c>
      <c r="BD146" s="324">
        <f>H146/(100-BE146)*100</f>
        <v>0</v>
      </c>
      <c r="BE146" s="324">
        <v>0</v>
      </c>
      <c r="BF146" s="324">
        <f>M146</f>
        <v>2.0879999999999999E-2</v>
      </c>
      <c r="BH146" s="324">
        <f>G146*AO146</f>
        <v>0</v>
      </c>
      <c r="BI146" s="324">
        <f>G146*AP146</f>
        <v>0</v>
      </c>
      <c r="BJ146" s="324">
        <f>G146*H146</f>
        <v>0</v>
      </c>
      <c r="BK146" s="324" t="s">
        <v>814</v>
      </c>
      <c r="BL146" s="324">
        <v>725</v>
      </c>
    </row>
    <row r="147" spans="1:64" x14ac:dyDescent="0.2">
      <c r="A147" s="282"/>
      <c r="D147" s="327" t="s">
        <v>1030</v>
      </c>
      <c r="E147" s="327"/>
      <c r="G147" s="328">
        <v>48</v>
      </c>
      <c r="H147" s="429"/>
      <c r="N147" s="329"/>
      <c r="O147" s="282"/>
    </row>
    <row r="148" spans="1:64" x14ac:dyDescent="0.2">
      <c r="A148" s="282"/>
      <c r="D148" s="327" t="s">
        <v>1031</v>
      </c>
      <c r="E148" s="327"/>
      <c r="G148" s="328">
        <v>18</v>
      </c>
      <c r="H148" s="429"/>
      <c r="N148" s="329"/>
      <c r="O148" s="282"/>
    </row>
    <row r="149" spans="1:64" x14ac:dyDescent="0.2">
      <c r="A149" s="282"/>
      <c r="D149" s="327" t="s">
        <v>852</v>
      </c>
      <c r="E149" s="327"/>
      <c r="G149" s="328">
        <v>3</v>
      </c>
      <c r="H149" s="429"/>
      <c r="N149" s="329"/>
      <c r="O149" s="282"/>
    </row>
    <row r="150" spans="1:64" x14ac:dyDescent="0.2">
      <c r="A150" s="282"/>
      <c r="D150" s="327" t="s">
        <v>884</v>
      </c>
      <c r="E150" s="327"/>
      <c r="G150" s="328">
        <v>6</v>
      </c>
      <c r="H150" s="429"/>
      <c r="N150" s="329"/>
      <c r="O150" s="282"/>
    </row>
    <row r="151" spans="1:64" x14ac:dyDescent="0.2">
      <c r="A151" s="282"/>
      <c r="D151" s="327" t="s">
        <v>885</v>
      </c>
      <c r="E151" s="327"/>
      <c r="G151" s="328">
        <v>12</v>
      </c>
      <c r="H151" s="429"/>
      <c r="N151" s="329"/>
      <c r="O151" s="282"/>
    </row>
    <row r="152" spans="1:64" x14ac:dyDescent="0.2">
      <c r="A152" s="322" t="s">
        <v>67</v>
      </c>
      <c r="B152" s="323" t="s">
        <v>805</v>
      </c>
      <c r="C152" s="323" t="s">
        <v>1032</v>
      </c>
      <c r="D152" s="285" t="s">
        <v>1033</v>
      </c>
      <c r="E152" s="285"/>
      <c r="F152" s="323" t="s">
        <v>230</v>
      </c>
      <c r="G152" s="324">
        <v>4</v>
      </c>
      <c r="H152" s="428"/>
      <c r="I152" s="324">
        <f>G152*AO152</f>
        <v>0</v>
      </c>
      <c r="J152" s="324">
        <f>G152*AP152</f>
        <v>0</v>
      </c>
      <c r="K152" s="324">
        <f>G152*H152</f>
        <v>0</v>
      </c>
      <c r="L152" s="324">
        <v>1.0200000000000001E-3</v>
      </c>
      <c r="M152" s="324">
        <f>G152*L152</f>
        <v>4.0800000000000003E-3</v>
      </c>
      <c r="N152" s="325" t="s">
        <v>809</v>
      </c>
      <c r="O152" s="282"/>
      <c r="Z152" s="324">
        <f>IF(AQ152="5",BJ152,0)</f>
        <v>0</v>
      </c>
      <c r="AB152" s="324">
        <f>IF(AQ152="1",BH152,0)</f>
        <v>0</v>
      </c>
      <c r="AC152" s="324">
        <f>IF(AQ152="1",BI152,0)</f>
        <v>0</v>
      </c>
      <c r="AD152" s="324">
        <f>IF(AQ152="7",BH152,0)</f>
        <v>0</v>
      </c>
      <c r="AE152" s="324">
        <f>IF(AQ152="7",BI152,0)</f>
        <v>0</v>
      </c>
      <c r="AF152" s="324">
        <f>IF(AQ152="2",BH152,0)</f>
        <v>0</v>
      </c>
      <c r="AG152" s="324">
        <f>IF(AQ152="2",BI152,0)</f>
        <v>0</v>
      </c>
      <c r="AH152" s="324">
        <f>IF(AQ152="0",BJ152,0)</f>
        <v>0</v>
      </c>
      <c r="AI152" s="299" t="s">
        <v>805</v>
      </c>
      <c r="AJ152" s="324">
        <f>IF(AN152=0,K152,0)</f>
        <v>0</v>
      </c>
      <c r="AK152" s="324">
        <f>IF(AN152=15,K152,0)</f>
        <v>0</v>
      </c>
      <c r="AL152" s="324">
        <f>IF(AN152=21,K152,0)</f>
        <v>0</v>
      </c>
      <c r="AN152" s="324">
        <v>21</v>
      </c>
      <c r="AO152" s="324">
        <f>H152*0.902748414376321</f>
        <v>0</v>
      </c>
      <c r="AP152" s="324">
        <f>H152*(1-0.902748414376321)</f>
        <v>0</v>
      </c>
      <c r="AQ152" s="326" t="s">
        <v>810</v>
      </c>
      <c r="AV152" s="324">
        <f>AW152+AX152</f>
        <v>0</v>
      </c>
      <c r="AW152" s="324">
        <f>G152*AO152</f>
        <v>0</v>
      </c>
      <c r="AX152" s="324">
        <f>G152*AP152</f>
        <v>0</v>
      </c>
      <c r="AY152" s="326" t="s">
        <v>1004</v>
      </c>
      <c r="AZ152" s="326" t="s">
        <v>821</v>
      </c>
      <c r="BA152" s="299" t="s">
        <v>813</v>
      </c>
      <c r="BC152" s="324">
        <f>AW152+AX152</f>
        <v>0</v>
      </c>
      <c r="BD152" s="324">
        <f>H152/(100-BE152)*100</f>
        <v>0</v>
      </c>
      <c r="BE152" s="324">
        <v>0</v>
      </c>
      <c r="BF152" s="324">
        <f>M152</f>
        <v>4.0800000000000003E-3</v>
      </c>
      <c r="BH152" s="324">
        <f>G152*AO152</f>
        <v>0</v>
      </c>
      <c r="BI152" s="324">
        <f>G152*AP152</f>
        <v>0</v>
      </c>
      <c r="BJ152" s="324">
        <f>G152*H152</f>
        <v>0</v>
      </c>
      <c r="BK152" s="324" t="s">
        <v>814</v>
      </c>
      <c r="BL152" s="324">
        <v>725</v>
      </c>
    </row>
    <row r="153" spans="1:64" ht="14.65" customHeight="1" x14ac:dyDescent="0.2">
      <c r="A153" s="282"/>
      <c r="D153" s="330" t="s">
        <v>1034</v>
      </c>
      <c r="E153" s="330"/>
      <c r="F153" s="330"/>
      <c r="G153" s="330"/>
      <c r="H153" s="431"/>
      <c r="I153" s="330"/>
      <c r="J153" s="330"/>
      <c r="K153" s="330"/>
      <c r="L153" s="330"/>
      <c r="M153" s="330"/>
      <c r="N153" s="330"/>
      <c r="O153" s="331"/>
    </row>
    <row r="154" spans="1:64" x14ac:dyDescent="0.2">
      <c r="A154" s="282"/>
      <c r="D154" s="327" t="s">
        <v>65</v>
      </c>
      <c r="E154" s="327"/>
      <c r="G154" s="328">
        <v>4</v>
      </c>
      <c r="H154" s="429"/>
      <c r="N154" s="329"/>
      <c r="O154" s="282"/>
    </row>
    <row r="155" spans="1:64" x14ac:dyDescent="0.2">
      <c r="A155" s="322" t="s">
        <v>1035</v>
      </c>
      <c r="B155" s="323" t="s">
        <v>805</v>
      </c>
      <c r="C155" s="323" t="s">
        <v>1036</v>
      </c>
      <c r="D155" s="285" t="s">
        <v>1037</v>
      </c>
      <c r="E155" s="285"/>
      <c r="F155" s="323" t="s">
        <v>230</v>
      </c>
      <c r="G155" s="324">
        <v>24</v>
      </c>
      <c r="H155" s="428"/>
      <c r="I155" s="324">
        <f>G155*AO155</f>
        <v>0</v>
      </c>
      <c r="J155" s="324">
        <f>G155*AP155</f>
        <v>0</v>
      </c>
      <c r="K155" s="324">
        <f>G155*H155</f>
        <v>0</v>
      </c>
      <c r="L155" s="324">
        <v>8.4999999999999995E-4</v>
      </c>
      <c r="M155" s="324">
        <f>G155*L155</f>
        <v>2.0399999999999998E-2</v>
      </c>
      <c r="N155" s="325" t="s">
        <v>809</v>
      </c>
      <c r="O155" s="282"/>
      <c r="Z155" s="324">
        <f>IF(AQ155="5",BJ155,0)</f>
        <v>0</v>
      </c>
      <c r="AB155" s="324">
        <f>IF(AQ155="1",BH155,0)</f>
        <v>0</v>
      </c>
      <c r="AC155" s="324">
        <f>IF(AQ155="1",BI155,0)</f>
        <v>0</v>
      </c>
      <c r="AD155" s="324">
        <f>IF(AQ155="7",BH155,0)</f>
        <v>0</v>
      </c>
      <c r="AE155" s="324">
        <f>IF(AQ155="7",BI155,0)</f>
        <v>0</v>
      </c>
      <c r="AF155" s="324">
        <f>IF(AQ155="2",BH155,0)</f>
        <v>0</v>
      </c>
      <c r="AG155" s="324">
        <f>IF(AQ155="2",BI155,0)</f>
        <v>0</v>
      </c>
      <c r="AH155" s="324">
        <f>IF(AQ155="0",BJ155,0)</f>
        <v>0</v>
      </c>
      <c r="AI155" s="299" t="s">
        <v>805</v>
      </c>
      <c r="AJ155" s="324">
        <f>IF(AN155=0,K155,0)</f>
        <v>0</v>
      </c>
      <c r="AK155" s="324">
        <f>IF(AN155=15,K155,0)</f>
        <v>0</v>
      </c>
      <c r="AL155" s="324">
        <f>IF(AN155=21,K155,0)</f>
        <v>0</v>
      </c>
      <c r="AN155" s="324">
        <v>21</v>
      </c>
      <c r="AO155" s="324">
        <f>H155*0.89479271070615</f>
        <v>0</v>
      </c>
      <c r="AP155" s="324">
        <f>H155*(1-0.89479271070615)</f>
        <v>0</v>
      </c>
      <c r="AQ155" s="326" t="s">
        <v>810</v>
      </c>
      <c r="AV155" s="324">
        <f>AW155+AX155</f>
        <v>0</v>
      </c>
      <c r="AW155" s="324">
        <f>G155*AO155</f>
        <v>0</v>
      </c>
      <c r="AX155" s="324">
        <f>G155*AP155</f>
        <v>0</v>
      </c>
      <c r="AY155" s="326" t="s">
        <v>1004</v>
      </c>
      <c r="AZ155" s="326" t="s">
        <v>821</v>
      </c>
      <c r="BA155" s="299" t="s">
        <v>813</v>
      </c>
      <c r="BC155" s="324">
        <f>AW155+AX155</f>
        <v>0</v>
      </c>
      <c r="BD155" s="324">
        <f>H155/(100-BE155)*100</f>
        <v>0</v>
      </c>
      <c r="BE155" s="324">
        <v>0</v>
      </c>
      <c r="BF155" s="324">
        <f>M155</f>
        <v>2.0399999999999998E-2</v>
      </c>
      <c r="BH155" s="324">
        <f>G155*AO155</f>
        <v>0</v>
      </c>
      <c r="BI155" s="324">
        <f>G155*AP155</f>
        <v>0</v>
      </c>
      <c r="BJ155" s="324">
        <f>G155*H155</f>
        <v>0</v>
      </c>
      <c r="BK155" s="324" t="s">
        <v>814</v>
      </c>
      <c r="BL155" s="324">
        <v>725</v>
      </c>
    </row>
    <row r="156" spans="1:64" ht="14.65" customHeight="1" x14ac:dyDescent="0.2">
      <c r="A156" s="282"/>
      <c r="D156" s="330" t="s">
        <v>1034</v>
      </c>
      <c r="E156" s="330"/>
      <c r="F156" s="330"/>
      <c r="G156" s="330"/>
      <c r="H156" s="431"/>
      <c r="I156" s="330"/>
      <c r="J156" s="330"/>
      <c r="K156" s="330"/>
      <c r="L156" s="330"/>
      <c r="M156" s="330"/>
      <c r="N156" s="330"/>
      <c r="O156" s="331"/>
    </row>
    <row r="157" spans="1:64" x14ac:dyDescent="0.2">
      <c r="A157" s="282"/>
      <c r="D157" s="327" t="s">
        <v>901</v>
      </c>
      <c r="E157" s="327"/>
      <c r="G157" s="328">
        <v>24</v>
      </c>
      <c r="H157" s="429"/>
      <c r="N157" s="329"/>
      <c r="O157" s="282"/>
    </row>
    <row r="158" spans="1:64" x14ac:dyDescent="0.2">
      <c r="A158" s="322" t="s">
        <v>71</v>
      </c>
      <c r="B158" s="323" t="s">
        <v>805</v>
      </c>
      <c r="C158" s="323" t="s">
        <v>1038</v>
      </c>
      <c r="D158" s="285" t="s">
        <v>1039</v>
      </c>
      <c r="E158" s="285"/>
      <c r="F158" s="323" t="s">
        <v>915</v>
      </c>
      <c r="G158" s="324">
        <v>1</v>
      </c>
      <c r="H158" s="428"/>
      <c r="I158" s="324">
        <f>G158*AO158</f>
        <v>0</v>
      </c>
      <c r="J158" s="324">
        <f>G158*AP158</f>
        <v>0</v>
      </c>
      <c r="K158" s="324">
        <f>G158*H158</f>
        <v>0</v>
      </c>
      <c r="L158" s="324">
        <v>0</v>
      </c>
      <c r="M158" s="324">
        <f>G158*L158</f>
        <v>0</v>
      </c>
      <c r="N158" s="325" t="s">
        <v>916</v>
      </c>
      <c r="O158" s="282"/>
      <c r="Z158" s="324">
        <f>IF(AQ158="5",BJ158,0)</f>
        <v>0</v>
      </c>
      <c r="AB158" s="324">
        <f>IF(AQ158="1",BH158,0)</f>
        <v>0</v>
      </c>
      <c r="AC158" s="324">
        <f>IF(AQ158="1",BI158,0)</f>
        <v>0</v>
      </c>
      <c r="AD158" s="324">
        <f>IF(AQ158="7",BH158,0)</f>
        <v>0</v>
      </c>
      <c r="AE158" s="324">
        <f>IF(AQ158="7",BI158,0)</f>
        <v>0</v>
      </c>
      <c r="AF158" s="324">
        <f>IF(AQ158="2",BH158,0)</f>
        <v>0</v>
      </c>
      <c r="AG158" s="324">
        <f>IF(AQ158="2",BI158,0)</f>
        <v>0</v>
      </c>
      <c r="AH158" s="324">
        <f>IF(AQ158="0",BJ158,0)</f>
        <v>0</v>
      </c>
      <c r="AI158" s="299" t="s">
        <v>805</v>
      </c>
      <c r="AJ158" s="324">
        <f>IF(AN158=0,K158,0)</f>
        <v>0</v>
      </c>
      <c r="AK158" s="324">
        <f>IF(AN158=15,K158,0)</f>
        <v>0</v>
      </c>
      <c r="AL158" s="324">
        <f>IF(AN158=21,K158,0)</f>
        <v>0</v>
      </c>
      <c r="AN158" s="324">
        <v>21</v>
      </c>
      <c r="AO158" s="324">
        <f>H158*0</f>
        <v>0</v>
      </c>
      <c r="AP158" s="324">
        <f>H158*(1-0)</f>
        <v>0</v>
      </c>
      <c r="AQ158" s="326" t="s">
        <v>810</v>
      </c>
      <c r="AV158" s="324">
        <f>AW158+AX158</f>
        <v>0</v>
      </c>
      <c r="AW158" s="324">
        <f>G158*AO158</f>
        <v>0</v>
      </c>
      <c r="AX158" s="324">
        <f>G158*AP158</f>
        <v>0</v>
      </c>
      <c r="AY158" s="326" t="s">
        <v>1004</v>
      </c>
      <c r="AZ158" s="326" t="s">
        <v>821</v>
      </c>
      <c r="BA158" s="299" t="s">
        <v>813</v>
      </c>
      <c r="BC158" s="324">
        <f>AW158+AX158</f>
        <v>0</v>
      </c>
      <c r="BD158" s="324">
        <f>H158/(100-BE158)*100</f>
        <v>0</v>
      </c>
      <c r="BE158" s="324">
        <v>0</v>
      </c>
      <c r="BF158" s="324">
        <f>M158</f>
        <v>0</v>
      </c>
      <c r="BH158" s="324">
        <f>G158*AO158</f>
        <v>0</v>
      </c>
      <c r="BI158" s="324">
        <f>G158*AP158</f>
        <v>0</v>
      </c>
      <c r="BJ158" s="324">
        <f>G158*H158</f>
        <v>0</v>
      </c>
      <c r="BK158" s="324" t="s">
        <v>814</v>
      </c>
      <c r="BL158" s="324">
        <v>725</v>
      </c>
    </row>
    <row r="159" spans="1:64" x14ac:dyDescent="0.2">
      <c r="A159" s="282"/>
      <c r="D159" s="327" t="s">
        <v>354</v>
      </c>
      <c r="E159" s="327"/>
      <c r="G159" s="328">
        <v>1</v>
      </c>
      <c r="H159" s="429"/>
      <c r="N159" s="329"/>
      <c r="O159" s="282"/>
    </row>
    <row r="160" spans="1:64" x14ac:dyDescent="0.2">
      <c r="A160" s="322" t="s">
        <v>1040</v>
      </c>
      <c r="B160" s="323" t="s">
        <v>805</v>
      </c>
      <c r="C160" s="323" t="s">
        <v>1041</v>
      </c>
      <c r="D160" s="285" t="s">
        <v>1042</v>
      </c>
      <c r="E160" s="285"/>
      <c r="F160" s="323" t="s">
        <v>230</v>
      </c>
      <c r="G160" s="324">
        <v>28</v>
      </c>
      <c r="H160" s="428"/>
      <c r="I160" s="324">
        <f>G160*AO160</f>
        <v>0</v>
      </c>
      <c r="J160" s="324">
        <f>G160*AP160</f>
        <v>0</v>
      </c>
      <c r="K160" s="324">
        <f>G160*H160</f>
        <v>0</v>
      </c>
      <c r="L160" s="324">
        <v>0</v>
      </c>
      <c r="M160" s="324">
        <f>G160*L160</f>
        <v>0</v>
      </c>
      <c r="N160" s="325" t="s">
        <v>809</v>
      </c>
      <c r="O160" s="282"/>
      <c r="Z160" s="324">
        <f>IF(AQ160="5",BJ160,0)</f>
        <v>0</v>
      </c>
      <c r="AB160" s="324">
        <f>IF(AQ160="1",BH160,0)</f>
        <v>0</v>
      </c>
      <c r="AC160" s="324">
        <f>IF(AQ160="1",BI160,0)</f>
        <v>0</v>
      </c>
      <c r="AD160" s="324">
        <f>IF(AQ160="7",BH160,0)</f>
        <v>0</v>
      </c>
      <c r="AE160" s="324">
        <f>IF(AQ160="7",BI160,0)</f>
        <v>0</v>
      </c>
      <c r="AF160" s="324">
        <f>IF(AQ160="2",BH160,0)</f>
        <v>0</v>
      </c>
      <c r="AG160" s="324">
        <f>IF(AQ160="2",BI160,0)</f>
        <v>0</v>
      </c>
      <c r="AH160" s="324">
        <f>IF(AQ160="0",BJ160,0)</f>
        <v>0</v>
      </c>
      <c r="AI160" s="299" t="s">
        <v>805</v>
      </c>
      <c r="AJ160" s="324">
        <f>IF(AN160=0,K160,0)</f>
        <v>0</v>
      </c>
      <c r="AK160" s="324">
        <f>IF(AN160=15,K160,0)</f>
        <v>0</v>
      </c>
      <c r="AL160" s="324">
        <f>IF(AN160=21,K160,0)</f>
        <v>0</v>
      </c>
      <c r="AN160" s="324">
        <v>21</v>
      </c>
      <c r="AO160" s="324">
        <f>H160*0.882988084326306</f>
        <v>0</v>
      </c>
      <c r="AP160" s="324">
        <f>H160*(1-0.882988084326306)</f>
        <v>0</v>
      </c>
      <c r="AQ160" s="326" t="s">
        <v>810</v>
      </c>
      <c r="AV160" s="324">
        <f>AW160+AX160</f>
        <v>0</v>
      </c>
      <c r="AW160" s="324">
        <f>G160*AO160</f>
        <v>0</v>
      </c>
      <c r="AX160" s="324">
        <f>G160*AP160</f>
        <v>0</v>
      </c>
      <c r="AY160" s="326" t="s">
        <v>1004</v>
      </c>
      <c r="AZ160" s="326" t="s">
        <v>821</v>
      </c>
      <c r="BA160" s="299" t="s">
        <v>813</v>
      </c>
      <c r="BC160" s="324">
        <f>AW160+AX160</f>
        <v>0</v>
      </c>
      <c r="BD160" s="324">
        <f>H160/(100-BE160)*100</f>
        <v>0</v>
      </c>
      <c r="BE160" s="324">
        <v>0</v>
      </c>
      <c r="BF160" s="324">
        <f>M160</f>
        <v>0</v>
      </c>
      <c r="BH160" s="324">
        <f>G160*AO160</f>
        <v>0</v>
      </c>
      <c r="BI160" s="324">
        <f>G160*AP160</f>
        <v>0</v>
      </c>
      <c r="BJ160" s="324">
        <f>G160*H160</f>
        <v>0</v>
      </c>
      <c r="BK160" s="324" t="s">
        <v>814</v>
      </c>
      <c r="BL160" s="324">
        <v>725</v>
      </c>
    </row>
    <row r="161" spans="1:64" x14ac:dyDescent="0.2">
      <c r="A161" s="282"/>
      <c r="D161" s="327" t="s">
        <v>917</v>
      </c>
      <c r="E161" s="327"/>
      <c r="G161" s="328">
        <v>28</v>
      </c>
      <c r="H161" s="429"/>
      <c r="N161" s="329"/>
      <c r="O161" s="282"/>
    </row>
    <row r="162" spans="1:64" x14ac:dyDescent="0.2">
      <c r="A162" s="322" t="s">
        <v>1043</v>
      </c>
      <c r="B162" s="323" t="s">
        <v>805</v>
      </c>
      <c r="C162" s="323" t="s">
        <v>1041</v>
      </c>
      <c r="D162" s="285" t="s">
        <v>1044</v>
      </c>
      <c r="E162" s="285"/>
      <c r="F162" s="323" t="s">
        <v>230</v>
      </c>
      <c r="G162" s="324">
        <v>0</v>
      </c>
      <c r="H162" s="428"/>
      <c r="I162" s="324">
        <f>G162*AO162</f>
        <v>0</v>
      </c>
      <c r="J162" s="324">
        <f>G162*AP162</f>
        <v>0</v>
      </c>
      <c r="K162" s="324">
        <f>G162*H162</f>
        <v>0</v>
      </c>
      <c r="L162" s="324">
        <v>0</v>
      </c>
      <c r="M162" s="324">
        <f>G162*L162</f>
        <v>0</v>
      </c>
      <c r="N162" s="325" t="s">
        <v>809</v>
      </c>
      <c r="O162" s="282"/>
    </row>
    <row r="163" spans="1:64" x14ac:dyDescent="0.2">
      <c r="A163" s="282"/>
      <c r="D163" s="327" t="s">
        <v>1045</v>
      </c>
      <c r="E163" s="327"/>
      <c r="G163" s="328">
        <v>0</v>
      </c>
      <c r="H163" s="429"/>
      <c r="N163" s="329"/>
      <c r="O163" s="282"/>
    </row>
    <row r="164" spans="1:64" x14ac:dyDescent="0.2">
      <c r="A164" s="322" t="s">
        <v>1046</v>
      </c>
      <c r="B164" s="323" t="s">
        <v>805</v>
      </c>
      <c r="C164" s="323" t="s">
        <v>1047</v>
      </c>
      <c r="D164" s="285" t="s">
        <v>1048</v>
      </c>
      <c r="E164" s="285"/>
      <c r="F164" s="323" t="s">
        <v>230</v>
      </c>
      <c r="G164" s="324">
        <v>1</v>
      </c>
      <c r="H164" s="428"/>
      <c r="I164" s="324">
        <f>G164*AO164</f>
        <v>0</v>
      </c>
      <c r="J164" s="324">
        <f>G164*AP164</f>
        <v>0</v>
      </c>
      <c r="K164" s="324">
        <f>G164*H164</f>
        <v>0</v>
      </c>
      <c r="L164" s="324">
        <v>2.5999999999999998E-4</v>
      </c>
      <c r="M164" s="324">
        <f>G164*L164</f>
        <v>2.5999999999999998E-4</v>
      </c>
      <c r="N164" s="325" t="s">
        <v>809</v>
      </c>
      <c r="O164" s="282"/>
      <c r="Z164" s="324">
        <f>IF(AQ164="5",BJ164,0)</f>
        <v>0</v>
      </c>
      <c r="AB164" s="324">
        <f>IF(AQ164="1",BH164,0)</f>
        <v>0</v>
      </c>
      <c r="AC164" s="324">
        <f>IF(AQ164="1",BI164,0)</f>
        <v>0</v>
      </c>
      <c r="AD164" s="324">
        <f>IF(AQ164="7",BH164,0)</f>
        <v>0</v>
      </c>
      <c r="AE164" s="324">
        <f>IF(AQ164="7",BI164,0)</f>
        <v>0</v>
      </c>
      <c r="AF164" s="324">
        <f>IF(AQ164="2",BH164,0)</f>
        <v>0</v>
      </c>
      <c r="AG164" s="324">
        <f>IF(AQ164="2",BI164,0)</f>
        <v>0</v>
      </c>
      <c r="AH164" s="324">
        <f>IF(AQ164="0",BJ164,0)</f>
        <v>0</v>
      </c>
      <c r="AI164" s="299" t="s">
        <v>805</v>
      </c>
      <c r="AJ164" s="324">
        <f>IF(AN164=0,K164,0)</f>
        <v>0</v>
      </c>
      <c r="AK164" s="324">
        <f>IF(AN164=15,K164,0)</f>
        <v>0</v>
      </c>
      <c r="AL164" s="324">
        <f>IF(AN164=21,K164,0)</f>
        <v>0</v>
      </c>
      <c r="AN164" s="324">
        <v>21</v>
      </c>
      <c r="AO164" s="324">
        <f>H164*0.752116504854369</f>
        <v>0</v>
      </c>
      <c r="AP164" s="324">
        <f>H164*(1-0.752116504854369)</f>
        <v>0</v>
      </c>
      <c r="AQ164" s="326" t="s">
        <v>810</v>
      </c>
      <c r="AV164" s="324">
        <f>AW164+AX164</f>
        <v>0</v>
      </c>
      <c r="AW164" s="324">
        <f>G164*AO164</f>
        <v>0</v>
      </c>
      <c r="AX164" s="324">
        <f>G164*AP164</f>
        <v>0</v>
      </c>
      <c r="AY164" s="326" t="s">
        <v>1004</v>
      </c>
      <c r="AZ164" s="326" t="s">
        <v>821</v>
      </c>
      <c r="BA164" s="299" t="s">
        <v>813</v>
      </c>
      <c r="BC164" s="324">
        <f>AW164+AX164</f>
        <v>0</v>
      </c>
      <c r="BD164" s="324">
        <f>H164/(100-BE164)*100</f>
        <v>0</v>
      </c>
      <c r="BE164" s="324">
        <v>0</v>
      </c>
      <c r="BF164" s="324">
        <f>M164</f>
        <v>2.5999999999999998E-4</v>
      </c>
      <c r="BH164" s="324">
        <f>G164*AO164</f>
        <v>0</v>
      </c>
      <c r="BI164" s="324">
        <f>G164*AP164</f>
        <v>0</v>
      </c>
      <c r="BJ164" s="324">
        <f>G164*H164</f>
        <v>0</v>
      </c>
      <c r="BK164" s="324" t="s">
        <v>814</v>
      </c>
      <c r="BL164" s="324">
        <v>725</v>
      </c>
    </row>
    <row r="165" spans="1:64" x14ac:dyDescent="0.2">
      <c r="A165" s="282"/>
      <c r="D165" s="327" t="s">
        <v>354</v>
      </c>
      <c r="E165" s="327"/>
      <c r="G165" s="328">
        <v>1</v>
      </c>
      <c r="H165" s="429"/>
      <c r="N165" s="329"/>
      <c r="O165" s="282"/>
    </row>
    <row r="166" spans="1:64" x14ac:dyDescent="0.2">
      <c r="A166" s="322" t="s">
        <v>1049</v>
      </c>
      <c r="B166" s="323" t="s">
        <v>805</v>
      </c>
      <c r="C166" s="323" t="s">
        <v>1050</v>
      </c>
      <c r="D166" s="285" t="s">
        <v>1051</v>
      </c>
      <c r="E166" s="285"/>
      <c r="F166" s="323" t="s">
        <v>486</v>
      </c>
      <c r="G166" s="324">
        <v>3</v>
      </c>
      <c r="H166" s="428"/>
      <c r="I166" s="324">
        <f>G166*AO166</f>
        <v>0</v>
      </c>
      <c r="J166" s="324">
        <f>G166*AP166</f>
        <v>0</v>
      </c>
      <c r="K166" s="324">
        <f>G166*H166</f>
        <v>0</v>
      </c>
      <c r="L166" s="324">
        <v>1.42E-3</v>
      </c>
      <c r="M166" s="324">
        <f>G166*L166</f>
        <v>4.2599999999999999E-3</v>
      </c>
      <c r="N166" s="325" t="s">
        <v>809</v>
      </c>
      <c r="O166" s="282"/>
      <c r="Z166" s="324">
        <f>IF(AQ166="5",BJ166,0)</f>
        <v>0</v>
      </c>
      <c r="AB166" s="324">
        <f>IF(AQ166="1",BH166,0)</f>
        <v>0</v>
      </c>
      <c r="AC166" s="324">
        <f>IF(AQ166="1",BI166,0)</f>
        <v>0</v>
      </c>
      <c r="AD166" s="324">
        <f>IF(AQ166="7",BH166,0)</f>
        <v>0</v>
      </c>
      <c r="AE166" s="324">
        <f>IF(AQ166="7",BI166,0)</f>
        <v>0</v>
      </c>
      <c r="AF166" s="324">
        <f>IF(AQ166="2",BH166,0)</f>
        <v>0</v>
      </c>
      <c r="AG166" s="324">
        <f>IF(AQ166="2",BI166,0)</f>
        <v>0</v>
      </c>
      <c r="AH166" s="324">
        <f>IF(AQ166="0",BJ166,0)</f>
        <v>0</v>
      </c>
      <c r="AI166" s="299" t="s">
        <v>805</v>
      </c>
      <c r="AJ166" s="324">
        <f>IF(AN166=0,K166,0)</f>
        <v>0</v>
      </c>
      <c r="AK166" s="324">
        <f>IF(AN166=15,K166,0)</f>
        <v>0</v>
      </c>
      <c r="AL166" s="324">
        <f>IF(AN166=21,K166,0)</f>
        <v>0</v>
      </c>
      <c r="AN166" s="324">
        <v>21</v>
      </c>
      <c r="AO166" s="324">
        <f>H166*0.835872844827586</f>
        <v>0</v>
      </c>
      <c r="AP166" s="324">
        <f>H166*(1-0.835872844827586)</f>
        <v>0</v>
      </c>
      <c r="AQ166" s="326" t="s">
        <v>810</v>
      </c>
      <c r="AV166" s="324">
        <f>AW166+AX166</f>
        <v>0</v>
      </c>
      <c r="AW166" s="324">
        <f>G166*AO166</f>
        <v>0</v>
      </c>
      <c r="AX166" s="324">
        <f>G166*AP166</f>
        <v>0</v>
      </c>
      <c r="AY166" s="326" t="s">
        <v>1004</v>
      </c>
      <c r="AZ166" s="326" t="s">
        <v>821</v>
      </c>
      <c r="BA166" s="299" t="s">
        <v>813</v>
      </c>
      <c r="BC166" s="324">
        <f>AW166+AX166</f>
        <v>0</v>
      </c>
      <c r="BD166" s="324">
        <f>H166/(100-BE166)*100</f>
        <v>0</v>
      </c>
      <c r="BE166" s="324">
        <v>0</v>
      </c>
      <c r="BF166" s="324">
        <f>M166</f>
        <v>4.2599999999999999E-3</v>
      </c>
      <c r="BH166" s="324">
        <f>G166*AO166</f>
        <v>0</v>
      </c>
      <c r="BI166" s="324">
        <f>G166*AP166</f>
        <v>0</v>
      </c>
      <c r="BJ166" s="324">
        <f>G166*H166</f>
        <v>0</v>
      </c>
      <c r="BK166" s="324" t="s">
        <v>814</v>
      </c>
      <c r="BL166" s="324">
        <v>725</v>
      </c>
    </row>
    <row r="167" spans="1:64" ht="14.65" customHeight="1" x14ac:dyDescent="0.2">
      <c r="A167" s="282"/>
      <c r="D167" s="330" t="s">
        <v>1052</v>
      </c>
      <c r="E167" s="330"/>
      <c r="F167" s="330"/>
      <c r="G167" s="330"/>
      <c r="H167" s="431"/>
      <c r="I167" s="330"/>
      <c r="J167" s="330"/>
      <c r="K167" s="330"/>
      <c r="L167" s="330"/>
      <c r="M167" s="330"/>
      <c r="N167" s="330"/>
      <c r="O167" s="331"/>
    </row>
    <row r="168" spans="1:64" x14ac:dyDescent="0.2">
      <c r="A168" s="282"/>
      <c r="D168" s="327" t="s">
        <v>1053</v>
      </c>
      <c r="E168" s="327"/>
      <c r="G168" s="328">
        <v>3</v>
      </c>
      <c r="H168" s="429"/>
      <c r="N168" s="329"/>
      <c r="O168" s="282"/>
    </row>
    <row r="169" spans="1:64" x14ac:dyDescent="0.2">
      <c r="A169" s="322" t="s">
        <v>1054</v>
      </c>
      <c r="B169" s="323" t="s">
        <v>805</v>
      </c>
      <c r="C169" s="323" t="s">
        <v>1055</v>
      </c>
      <c r="D169" s="285" t="s">
        <v>1056</v>
      </c>
      <c r="E169" s="285"/>
      <c r="F169" s="323" t="s">
        <v>486</v>
      </c>
      <c r="G169" s="324">
        <v>3</v>
      </c>
      <c r="H169" s="428"/>
      <c r="I169" s="324">
        <f>G169*AO169</f>
        <v>0</v>
      </c>
      <c r="J169" s="324">
        <f>G169*AP169</f>
        <v>0</v>
      </c>
      <c r="K169" s="324">
        <f>G169*H169</f>
        <v>0</v>
      </c>
      <c r="L169" s="324">
        <v>1.444E-2</v>
      </c>
      <c r="M169" s="324">
        <f>G169*L169</f>
        <v>4.3319999999999997E-2</v>
      </c>
      <c r="N169" s="325" t="s">
        <v>809</v>
      </c>
      <c r="O169" s="282"/>
      <c r="Z169" s="324">
        <f>IF(AQ169="5",BJ169,0)</f>
        <v>0</v>
      </c>
      <c r="AB169" s="324">
        <f>IF(AQ169="1",BH169,0)</f>
        <v>0</v>
      </c>
      <c r="AC169" s="324">
        <f>IF(AQ169="1",BI169,0)</f>
        <v>0</v>
      </c>
      <c r="AD169" s="324">
        <f>IF(AQ169="7",BH169,0)</f>
        <v>0</v>
      </c>
      <c r="AE169" s="324">
        <f>IF(AQ169="7",BI169,0)</f>
        <v>0</v>
      </c>
      <c r="AF169" s="324">
        <f>IF(AQ169="2",BH169,0)</f>
        <v>0</v>
      </c>
      <c r="AG169" s="324">
        <f>IF(AQ169="2",BI169,0)</f>
        <v>0</v>
      </c>
      <c r="AH169" s="324">
        <f>IF(AQ169="0",BJ169,0)</f>
        <v>0</v>
      </c>
      <c r="AI169" s="299" t="s">
        <v>805</v>
      </c>
      <c r="AJ169" s="324">
        <f>IF(AN169=0,K169,0)</f>
        <v>0</v>
      </c>
      <c r="AK169" s="324">
        <f>IF(AN169=15,K169,0)</f>
        <v>0</v>
      </c>
      <c r="AL169" s="324">
        <f>IF(AN169=21,K169,0)</f>
        <v>0</v>
      </c>
      <c r="AN169" s="324">
        <v>21</v>
      </c>
      <c r="AO169" s="324">
        <f>H169*0.881439194342078</f>
        <v>0</v>
      </c>
      <c r="AP169" s="324">
        <f>H169*(1-0.881439194342078)</f>
        <v>0</v>
      </c>
      <c r="AQ169" s="326" t="s">
        <v>810</v>
      </c>
      <c r="AV169" s="324">
        <f>AW169+AX169</f>
        <v>0</v>
      </c>
      <c r="AW169" s="324">
        <f>G169*AO169</f>
        <v>0</v>
      </c>
      <c r="AX169" s="324">
        <f>G169*AP169</f>
        <v>0</v>
      </c>
      <c r="AY169" s="326" t="s">
        <v>1004</v>
      </c>
      <c r="AZ169" s="326" t="s">
        <v>821</v>
      </c>
      <c r="BA169" s="299" t="s">
        <v>813</v>
      </c>
      <c r="BC169" s="324">
        <f>AW169+AX169</f>
        <v>0</v>
      </c>
      <c r="BD169" s="324">
        <f>H169/(100-BE169)*100</f>
        <v>0</v>
      </c>
      <c r="BE169" s="324">
        <v>0</v>
      </c>
      <c r="BF169" s="324">
        <f>M169</f>
        <v>4.3319999999999997E-2</v>
      </c>
      <c r="BH169" s="324">
        <f>G169*AO169</f>
        <v>0</v>
      </c>
      <c r="BI169" s="324">
        <f>G169*AP169</f>
        <v>0</v>
      </c>
      <c r="BJ169" s="324">
        <f>G169*H169</f>
        <v>0</v>
      </c>
      <c r="BK169" s="324" t="s">
        <v>814</v>
      </c>
      <c r="BL169" s="324">
        <v>725</v>
      </c>
    </row>
    <row r="170" spans="1:64" x14ac:dyDescent="0.2">
      <c r="A170" s="282"/>
      <c r="D170" s="327" t="s">
        <v>63</v>
      </c>
      <c r="E170" s="327"/>
      <c r="G170" s="328">
        <v>3</v>
      </c>
      <c r="H170" s="429"/>
      <c r="N170" s="329"/>
      <c r="O170" s="282"/>
    </row>
    <row r="171" spans="1:64" x14ac:dyDescent="0.2">
      <c r="A171" s="322" t="s">
        <v>1057</v>
      </c>
      <c r="B171" s="323" t="s">
        <v>805</v>
      </c>
      <c r="C171" s="323" t="s">
        <v>1058</v>
      </c>
      <c r="D171" s="285" t="s">
        <v>1059</v>
      </c>
      <c r="E171" s="285"/>
      <c r="F171" s="323" t="s">
        <v>915</v>
      </c>
      <c r="G171" s="324">
        <v>3</v>
      </c>
      <c r="H171" s="428"/>
      <c r="I171" s="324">
        <f>G171*AO171</f>
        <v>0</v>
      </c>
      <c r="J171" s="324">
        <f>G171*AP171</f>
        <v>0</v>
      </c>
      <c r="K171" s="324">
        <f>G171*H171</f>
        <v>0</v>
      </c>
      <c r="L171" s="324">
        <v>3.0000000000000001E-3</v>
      </c>
      <c r="M171" s="324">
        <f>G171*L171</f>
        <v>9.0000000000000011E-3</v>
      </c>
      <c r="N171" s="325"/>
      <c r="O171" s="282"/>
      <c r="Z171" s="324">
        <f>IF(AQ171="5",BJ171,0)</f>
        <v>0</v>
      </c>
      <c r="AB171" s="324">
        <f>IF(AQ171="1",BH171,0)</f>
        <v>0</v>
      </c>
      <c r="AC171" s="324">
        <f>IF(AQ171="1",BI171,0)</f>
        <v>0</v>
      </c>
      <c r="AD171" s="324">
        <f>IF(AQ171="7",BH171,0)</f>
        <v>0</v>
      </c>
      <c r="AE171" s="324">
        <f>IF(AQ171="7",BI171,0)</f>
        <v>0</v>
      </c>
      <c r="AF171" s="324">
        <f>IF(AQ171="2",BH171,0)</f>
        <v>0</v>
      </c>
      <c r="AG171" s="324">
        <f>IF(AQ171="2",BI171,0)</f>
        <v>0</v>
      </c>
      <c r="AH171" s="324">
        <f>IF(AQ171="0",BJ171,0)</f>
        <v>0</v>
      </c>
      <c r="AI171" s="299" t="s">
        <v>805</v>
      </c>
      <c r="AJ171" s="324">
        <f>IF(AN171=0,K171,0)</f>
        <v>0</v>
      </c>
      <c r="AK171" s="324">
        <f>IF(AN171=15,K171,0)</f>
        <v>0</v>
      </c>
      <c r="AL171" s="324">
        <f>IF(AN171=21,K171,0)</f>
        <v>0</v>
      </c>
      <c r="AN171" s="324">
        <v>21</v>
      </c>
      <c r="AO171" s="324">
        <f>H171*0</f>
        <v>0</v>
      </c>
      <c r="AP171" s="324">
        <f>H171*(1-0)</f>
        <v>0</v>
      </c>
      <c r="AQ171" s="326" t="s">
        <v>810</v>
      </c>
      <c r="AV171" s="324">
        <f>AW171+AX171</f>
        <v>0</v>
      </c>
      <c r="AW171" s="324">
        <f>G171*AO171</f>
        <v>0</v>
      </c>
      <c r="AX171" s="324">
        <f>G171*AP171</f>
        <v>0</v>
      </c>
      <c r="AY171" s="326" t="s">
        <v>1004</v>
      </c>
      <c r="AZ171" s="326" t="s">
        <v>821</v>
      </c>
      <c r="BA171" s="299" t="s">
        <v>813</v>
      </c>
      <c r="BC171" s="324">
        <f>AW171+AX171</f>
        <v>0</v>
      </c>
      <c r="BD171" s="324">
        <f>H171/(100-BE171)*100</f>
        <v>0</v>
      </c>
      <c r="BE171" s="324">
        <v>0</v>
      </c>
      <c r="BF171" s="324">
        <f>M171</f>
        <v>9.0000000000000011E-3</v>
      </c>
      <c r="BH171" s="324">
        <f>G171*AO171</f>
        <v>0</v>
      </c>
      <c r="BI171" s="324">
        <f>G171*AP171</f>
        <v>0</v>
      </c>
      <c r="BJ171" s="324">
        <f>G171*H171</f>
        <v>0</v>
      </c>
      <c r="BK171" s="324" t="s">
        <v>814</v>
      </c>
      <c r="BL171" s="324">
        <v>725</v>
      </c>
    </row>
    <row r="172" spans="1:64" ht="14.65" customHeight="1" x14ac:dyDescent="0.2">
      <c r="A172" s="282"/>
      <c r="D172" s="330" t="s">
        <v>1060</v>
      </c>
      <c r="E172" s="330"/>
      <c r="F172" s="330"/>
      <c r="G172" s="330"/>
      <c r="H172" s="431"/>
      <c r="I172" s="330"/>
      <c r="J172" s="330"/>
      <c r="K172" s="330"/>
      <c r="L172" s="330"/>
      <c r="M172" s="330"/>
      <c r="N172" s="330"/>
      <c r="O172" s="331"/>
    </row>
    <row r="173" spans="1:64" x14ac:dyDescent="0.2">
      <c r="A173" s="282"/>
      <c r="D173" s="327" t="s">
        <v>63</v>
      </c>
      <c r="E173" s="327"/>
      <c r="G173" s="328">
        <v>3</v>
      </c>
      <c r="H173" s="429"/>
      <c r="N173" s="329"/>
      <c r="O173" s="282"/>
    </row>
    <row r="174" spans="1:64" x14ac:dyDescent="0.2">
      <c r="A174" s="322" t="s">
        <v>1061</v>
      </c>
      <c r="B174" s="323" t="s">
        <v>805</v>
      </c>
      <c r="C174" s="323" t="s">
        <v>1062</v>
      </c>
      <c r="D174" s="285" t="s">
        <v>1063</v>
      </c>
      <c r="E174" s="285"/>
      <c r="F174" s="323" t="s">
        <v>230</v>
      </c>
      <c r="G174" s="324">
        <v>2</v>
      </c>
      <c r="H174" s="428"/>
      <c r="I174" s="324">
        <f>G174*AO174</f>
        <v>0</v>
      </c>
      <c r="J174" s="324">
        <f>G174*AP174</f>
        <v>0</v>
      </c>
      <c r="K174" s="324">
        <f>G174*H174</f>
        <v>0</v>
      </c>
      <c r="L174" s="324">
        <v>1.72E-3</v>
      </c>
      <c r="M174" s="324">
        <f>G174*L174</f>
        <v>3.4399999999999999E-3</v>
      </c>
      <c r="N174" s="325" t="s">
        <v>809</v>
      </c>
      <c r="O174" s="282"/>
      <c r="Z174" s="324">
        <f>IF(AQ174="5",BJ174,0)</f>
        <v>0</v>
      </c>
      <c r="AB174" s="324">
        <f>IF(AQ174="1",BH174,0)</f>
        <v>0</v>
      </c>
      <c r="AC174" s="324">
        <f>IF(AQ174="1",BI174,0)</f>
        <v>0</v>
      </c>
      <c r="AD174" s="324">
        <f>IF(AQ174="7",BH174,0)</f>
        <v>0</v>
      </c>
      <c r="AE174" s="324">
        <f>IF(AQ174="7",BI174,0)</f>
        <v>0</v>
      </c>
      <c r="AF174" s="324">
        <f>IF(AQ174="2",BH174,0)</f>
        <v>0</v>
      </c>
      <c r="AG174" s="324">
        <f>IF(AQ174="2",BI174,0)</f>
        <v>0</v>
      </c>
      <c r="AH174" s="324">
        <f>IF(AQ174="0",BJ174,0)</f>
        <v>0</v>
      </c>
      <c r="AI174" s="299" t="s">
        <v>805</v>
      </c>
      <c r="AJ174" s="324">
        <f>IF(AN174=0,K174,0)</f>
        <v>0</v>
      </c>
      <c r="AK174" s="324">
        <f>IF(AN174=15,K174,0)</f>
        <v>0</v>
      </c>
      <c r="AL174" s="324">
        <f>IF(AN174=21,K174,0)</f>
        <v>0</v>
      </c>
      <c r="AN174" s="324">
        <v>21</v>
      </c>
      <c r="AO174" s="324">
        <f>H174*0.896210520123865</f>
        <v>0</v>
      </c>
      <c r="AP174" s="324">
        <f>H174*(1-0.896210520123865)</f>
        <v>0</v>
      </c>
      <c r="AQ174" s="326" t="s">
        <v>810</v>
      </c>
      <c r="AV174" s="324">
        <f>AW174+AX174</f>
        <v>0</v>
      </c>
      <c r="AW174" s="324">
        <f>G174*AO174</f>
        <v>0</v>
      </c>
      <c r="AX174" s="324">
        <f>G174*AP174</f>
        <v>0</v>
      </c>
      <c r="AY174" s="326" t="s">
        <v>1004</v>
      </c>
      <c r="AZ174" s="326" t="s">
        <v>821</v>
      </c>
      <c r="BA174" s="299" t="s">
        <v>813</v>
      </c>
      <c r="BC174" s="324">
        <f>AW174+AX174</f>
        <v>0</v>
      </c>
      <c r="BD174" s="324">
        <f>H174/(100-BE174)*100</f>
        <v>0</v>
      </c>
      <c r="BE174" s="324">
        <v>0</v>
      </c>
      <c r="BF174" s="324">
        <f>M174</f>
        <v>3.4399999999999999E-3</v>
      </c>
      <c r="BH174" s="324">
        <f>G174*AO174</f>
        <v>0</v>
      </c>
      <c r="BI174" s="324">
        <f>G174*AP174</f>
        <v>0</v>
      </c>
      <c r="BJ174" s="324">
        <f>G174*H174</f>
        <v>0</v>
      </c>
      <c r="BK174" s="324" t="s">
        <v>814</v>
      </c>
      <c r="BL174" s="324">
        <v>725</v>
      </c>
    </row>
    <row r="175" spans="1:64" ht="14.65" customHeight="1" x14ac:dyDescent="0.2">
      <c r="A175" s="282"/>
      <c r="D175" s="330" t="s">
        <v>1034</v>
      </c>
      <c r="E175" s="330"/>
      <c r="F175" s="330"/>
      <c r="G175" s="330"/>
      <c r="H175" s="431"/>
      <c r="I175" s="330"/>
      <c r="J175" s="330"/>
      <c r="K175" s="330"/>
      <c r="L175" s="330"/>
      <c r="M175" s="330"/>
      <c r="N175" s="330"/>
      <c r="O175" s="331"/>
    </row>
    <row r="176" spans="1:64" x14ac:dyDescent="0.2">
      <c r="A176" s="282"/>
      <c r="D176" s="327" t="s">
        <v>297</v>
      </c>
      <c r="E176" s="327"/>
      <c r="G176" s="328">
        <v>2</v>
      </c>
      <c r="H176" s="429"/>
      <c r="N176" s="329"/>
      <c r="O176" s="282"/>
    </row>
    <row r="177" spans="1:64" x14ac:dyDescent="0.2">
      <c r="A177" s="322" t="s">
        <v>1064</v>
      </c>
      <c r="B177" s="323" t="s">
        <v>805</v>
      </c>
      <c r="C177" s="323" t="s">
        <v>1065</v>
      </c>
      <c r="D177" s="285" t="s">
        <v>1066</v>
      </c>
      <c r="E177" s="285"/>
      <c r="F177" s="323" t="s">
        <v>486</v>
      </c>
      <c r="G177" s="324">
        <v>3</v>
      </c>
      <c r="H177" s="428"/>
      <c r="I177" s="324">
        <f>G177*AO177</f>
        <v>0</v>
      </c>
      <c r="J177" s="324">
        <f>G177*AP177</f>
        <v>0</v>
      </c>
      <c r="K177" s="324">
        <f>G177*H177</f>
        <v>0</v>
      </c>
      <c r="L177" s="324">
        <v>2.2710000000000001E-2</v>
      </c>
      <c r="M177" s="324">
        <f>G177*L177</f>
        <v>6.8129999999999996E-2</v>
      </c>
      <c r="N177" s="325" t="s">
        <v>809</v>
      </c>
      <c r="O177" s="282"/>
      <c r="Z177" s="324">
        <f>IF(AQ177="5",BJ177,0)</f>
        <v>0</v>
      </c>
      <c r="AB177" s="324">
        <f>IF(AQ177="1",BH177,0)</f>
        <v>0</v>
      </c>
      <c r="AC177" s="324">
        <f>IF(AQ177="1",BI177,0)</f>
        <v>0</v>
      </c>
      <c r="AD177" s="324">
        <f>IF(AQ177="7",BH177,0)</f>
        <v>0</v>
      </c>
      <c r="AE177" s="324">
        <f>IF(AQ177="7",BI177,0)</f>
        <v>0</v>
      </c>
      <c r="AF177" s="324">
        <f>IF(AQ177="2",BH177,0)</f>
        <v>0</v>
      </c>
      <c r="AG177" s="324">
        <f>IF(AQ177="2",BI177,0)</f>
        <v>0</v>
      </c>
      <c r="AH177" s="324">
        <f>IF(AQ177="0",BJ177,0)</f>
        <v>0</v>
      </c>
      <c r="AI177" s="299" t="s">
        <v>805</v>
      </c>
      <c r="AJ177" s="324">
        <f>IF(AN177=0,K177,0)</f>
        <v>0</v>
      </c>
      <c r="AK177" s="324">
        <f>IF(AN177=15,K177,0)</f>
        <v>0</v>
      </c>
      <c r="AL177" s="324">
        <f>IF(AN177=21,K177,0)</f>
        <v>0</v>
      </c>
      <c r="AN177" s="324">
        <v>21</v>
      </c>
      <c r="AO177" s="324">
        <f>H177*0.82365673420739</f>
        <v>0</v>
      </c>
      <c r="AP177" s="324">
        <f>H177*(1-0.82365673420739)</f>
        <v>0</v>
      </c>
      <c r="AQ177" s="326" t="s">
        <v>810</v>
      </c>
      <c r="AV177" s="324">
        <f>AW177+AX177</f>
        <v>0</v>
      </c>
      <c r="AW177" s="324">
        <f>G177*AO177</f>
        <v>0</v>
      </c>
      <c r="AX177" s="324">
        <f>G177*AP177</f>
        <v>0</v>
      </c>
      <c r="AY177" s="326" t="s">
        <v>1004</v>
      </c>
      <c r="AZ177" s="326" t="s">
        <v>821</v>
      </c>
      <c r="BA177" s="299" t="s">
        <v>813</v>
      </c>
      <c r="BC177" s="324">
        <f>AW177+AX177</f>
        <v>0</v>
      </c>
      <c r="BD177" s="324">
        <f>H177/(100-BE177)*100</f>
        <v>0</v>
      </c>
      <c r="BE177" s="324">
        <v>0</v>
      </c>
      <c r="BF177" s="324">
        <f>M177</f>
        <v>6.8129999999999996E-2</v>
      </c>
      <c r="BH177" s="324">
        <f>G177*AO177</f>
        <v>0</v>
      </c>
      <c r="BI177" s="324">
        <f>G177*AP177</f>
        <v>0</v>
      </c>
      <c r="BJ177" s="324">
        <f>G177*H177</f>
        <v>0</v>
      </c>
      <c r="BK177" s="324" t="s">
        <v>814</v>
      </c>
      <c r="BL177" s="324">
        <v>725</v>
      </c>
    </row>
    <row r="178" spans="1:64" x14ac:dyDescent="0.2">
      <c r="A178" s="282"/>
      <c r="D178" s="327" t="s">
        <v>63</v>
      </c>
      <c r="E178" s="327"/>
      <c r="G178" s="328">
        <v>3</v>
      </c>
      <c r="H178" s="429"/>
      <c r="N178" s="329"/>
      <c r="O178" s="282"/>
    </row>
    <row r="179" spans="1:64" ht="77.25" customHeight="1" x14ac:dyDescent="0.2">
      <c r="A179" s="322" t="s">
        <v>1067</v>
      </c>
      <c r="B179" s="323" t="s">
        <v>805</v>
      </c>
      <c r="C179" s="323" t="s">
        <v>1068</v>
      </c>
      <c r="D179" s="332" t="s">
        <v>1069</v>
      </c>
      <c r="E179" s="332"/>
      <c r="F179" s="323" t="s">
        <v>486</v>
      </c>
      <c r="G179" s="324">
        <v>12</v>
      </c>
      <c r="H179" s="428"/>
      <c r="I179" s="324">
        <f>G179*AO179</f>
        <v>0</v>
      </c>
      <c r="J179" s="324">
        <f>G179*AP179</f>
        <v>0</v>
      </c>
      <c r="K179" s="324">
        <f>G179*H179</f>
        <v>0</v>
      </c>
      <c r="L179" s="324">
        <v>1.6E-2</v>
      </c>
      <c r="M179" s="324">
        <f>G179*L179</f>
        <v>0.192</v>
      </c>
      <c r="N179" s="325" t="s">
        <v>809</v>
      </c>
      <c r="O179" s="282"/>
      <c r="Z179" s="324">
        <f>IF(AQ179="5",BJ179,0)</f>
        <v>0</v>
      </c>
      <c r="AB179" s="324">
        <f>IF(AQ179="1",BH179,0)</f>
        <v>0</v>
      </c>
      <c r="AC179" s="324">
        <f>IF(AQ179="1",BI179,0)</f>
        <v>0</v>
      </c>
      <c r="AD179" s="324">
        <f>IF(AQ179="7",BH179,0)</f>
        <v>0</v>
      </c>
      <c r="AE179" s="324">
        <f>IF(AQ179="7",BI179,0)</f>
        <v>0</v>
      </c>
      <c r="AF179" s="324">
        <f>IF(AQ179="2",BH179,0)</f>
        <v>0</v>
      </c>
      <c r="AG179" s="324">
        <f>IF(AQ179="2",BI179,0)</f>
        <v>0</v>
      </c>
      <c r="AH179" s="324">
        <f>IF(AQ179="0",BJ179,0)</f>
        <v>0</v>
      </c>
      <c r="AI179" s="299" t="s">
        <v>805</v>
      </c>
      <c r="AJ179" s="324">
        <f>IF(AN179=0,K179,0)</f>
        <v>0</v>
      </c>
      <c r="AK179" s="324">
        <f>IF(AN179=15,K179,0)</f>
        <v>0</v>
      </c>
      <c r="AL179" s="324">
        <f>IF(AN179=21,K179,0)</f>
        <v>0</v>
      </c>
      <c r="AN179" s="324">
        <v>21</v>
      </c>
      <c r="AO179" s="324">
        <f>H179*0.938710187960778</f>
        <v>0</v>
      </c>
      <c r="AP179" s="324">
        <f>H179*(1-0.938710187960778)</f>
        <v>0</v>
      </c>
      <c r="AQ179" s="326" t="s">
        <v>810</v>
      </c>
      <c r="AV179" s="324">
        <f>AW179+AX179</f>
        <v>0</v>
      </c>
      <c r="AW179" s="324">
        <f>G179*AO179</f>
        <v>0</v>
      </c>
      <c r="AX179" s="324">
        <f>G179*AP179</f>
        <v>0</v>
      </c>
      <c r="AY179" s="326" t="s">
        <v>1004</v>
      </c>
      <c r="AZ179" s="326" t="s">
        <v>821</v>
      </c>
      <c r="BA179" s="299" t="s">
        <v>813</v>
      </c>
      <c r="BC179" s="324">
        <f>AW179+AX179</f>
        <v>0</v>
      </c>
      <c r="BD179" s="324">
        <f>H179/(100-BE179)*100</f>
        <v>0</v>
      </c>
      <c r="BE179" s="324">
        <v>0</v>
      </c>
      <c r="BF179" s="324">
        <f>M179</f>
        <v>0.192</v>
      </c>
      <c r="BH179" s="324">
        <f>G179*AO179</f>
        <v>0</v>
      </c>
      <c r="BI179" s="324">
        <f>G179*AP179</f>
        <v>0</v>
      </c>
      <c r="BJ179" s="324">
        <f>G179*H179</f>
        <v>0</v>
      </c>
      <c r="BK179" s="324" t="s">
        <v>814</v>
      </c>
      <c r="BL179" s="324">
        <v>725</v>
      </c>
    </row>
    <row r="180" spans="1:64" x14ac:dyDescent="0.2">
      <c r="A180" s="282"/>
      <c r="D180" s="327" t="s">
        <v>857</v>
      </c>
      <c r="E180" s="327"/>
      <c r="G180" s="328">
        <v>12</v>
      </c>
      <c r="H180" s="429"/>
      <c r="N180" s="329"/>
      <c r="O180" s="282"/>
    </row>
    <row r="181" spans="1:64" x14ac:dyDescent="0.2">
      <c r="A181" s="322" t="s">
        <v>1070</v>
      </c>
      <c r="B181" s="323" t="s">
        <v>805</v>
      </c>
      <c r="C181" s="323" t="s">
        <v>1071</v>
      </c>
      <c r="D181" s="285" t="s">
        <v>1072</v>
      </c>
      <c r="E181" s="285"/>
      <c r="F181" s="323" t="s">
        <v>486</v>
      </c>
      <c r="G181" s="324">
        <v>0</v>
      </c>
      <c r="H181" s="428"/>
      <c r="I181" s="324">
        <f>G181*AO181</f>
        <v>0</v>
      </c>
      <c r="J181" s="324">
        <f>G181*AP181</f>
        <v>0</v>
      </c>
      <c r="K181" s="324">
        <f>G181*H181</f>
        <v>0</v>
      </c>
      <c r="L181" s="324">
        <v>2.1309999999999999E-2</v>
      </c>
      <c r="M181" s="324">
        <f>G181*L181</f>
        <v>0</v>
      </c>
      <c r="N181" s="325" t="s">
        <v>809</v>
      </c>
      <c r="O181" s="282"/>
      <c r="Z181" s="324">
        <f>IF(AQ181="5",BJ181,0)</f>
        <v>0</v>
      </c>
      <c r="AB181" s="324">
        <f>IF(AQ181="1",BH181,0)</f>
        <v>0</v>
      </c>
      <c r="AC181" s="324">
        <f>IF(AQ181="1",BI181,0)</f>
        <v>0</v>
      </c>
      <c r="AD181" s="324">
        <f>IF(AQ181="7",BH181,0)</f>
        <v>0</v>
      </c>
      <c r="AE181" s="324">
        <f>IF(AQ181="7",BI181,0)</f>
        <v>0</v>
      </c>
      <c r="AF181" s="324">
        <f>IF(AQ181="2",BH181,0)</f>
        <v>0</v>
      </c>
      <c r="AG181" s="324">
        <f>IF(AQ181="2",BI181,0)</f>
        <v>0</v>
      </c>
      <c r="AH181" s="324">
        <f>IF(AQ181="0",BJ181,0)</f>
        <v>0</v>
      </c>
      <c r="AI181" s="299" t="s">
        <v>805</v>
      </c>
      <c r="AJ181" s="324">
        <f>IF(AN181=0,K181,0)</f>
        <v>0</v>
      </c>
      <c r="AK181" s="324">
        <f>IF(AN181=15,K181,0)</f>
        <v>0</v>
      </c>
      <c r="AL181" s="324">
        <f>IF(AN181=21,K181,0)</f>
        <v>0</v>
      </c>
      <c r="AN181" s="324">
        <v>21</v>
      </c>
      <c r="AO181" s="324">
        <f>H181*0.914688688688689</f>
        <v>0</v>
      </c>
      <c r="AP181" s="324">
        <f>H181*(1-0.914688688688689)</f>
        <v>0</v>
      </c>
      <c r="AQ181" s="326" t="s">
        <v>810</v>
      </c>
      <c r="AV181" s="324">
        <f>AW181+AX181</f>
        <v>0</v>
      </c>
      <c r="AW181" s="324">
        <f>G181*AO181</f>
        <v>0</v>
      </c>
      <c r="AX181" s="324">
        <f>G181*AP181</f>
        <v>0</v>
      </c>
      <c r="AY181" s="326" t="s">
        <v>1004</v>
      </c>
      <c r="AZ181" s="326" t="s">
        <v>821</v>
      </c>
      <c r="BA181" s="299" t="s">
        <v>813</v>
      </c>
      <c r="BC181" s="324">
        <f>AW181+AX181</f>
        <v>0</v>
      </c>
      <c r="BD181" s="324">
        <f>H181/(100-BE181)*100</f>
        <v>0</v>
      </c>
      <c r="BE181" s="324">
        <v>0</v>
      </c>
      <c r="BF181" s="324">
        <f>M181</f>
        <v>0</v>
      </c>
      <c r="BH181" s="324">
        <f>G181*AO181</f>
        <v>0</v>
      </c>
      <c r="BI181" s="324">
        <f>G181*AP181</f>
        <v>0</v>
      </c>
      <c r="BJ181" s="324">
        <f>G181*H181</f>
        <v>0</v>
      </c>
      <c r="BK181" s="324" t="s">
        <v>814</v>
      </c>
      <c r="BL181" s="324">
        <v>725</v>
      </c>
    </row>
    <row r="182" spans="1:64" x14ac:dyDescent="0.2">
      <c r="A182" s="282"/>
      <c r="D182" s="327" t="s">
        <v>1045</v>
      </c>
      <c r="E182" s="327"/>
      <c r="G182" s="328">
        <v>0</v>
      </c>
      <c r="H182" s="429"/>
      <c r="N182" s="329"/>
      <c r="O182" s="282"/>
    </row>
    <row r="183" spans="1:64" x14ac:dyDescent="0.2">
      <c r="A183" s="322" t="s">
        <v>1073</v>
      </c>
      <c r="B183" s="323" t="s">
        <v>805</v>
      </c>
      <c r="C183" s="323" t="s">
        <v>1074</v>
      </c>
      <c r="D183" s="285" t="s">
        <v>1075</v>
      </c>
      <c r="E183" s="285"/>
      <c r="F183" s="323" t="s">
        <v>230</v>
      </c>
      <c r="G183" s="324">
        <v>3</v>
      </c>
      <c r="H183" s="428"/>
      <c r="I183" s="324">
        <f>G183*AO183</f>
        <v>0</v>
      </c>
      <c r="J183" s="324">
        <f>G183*AP183</f>
        <v>0</v>
      </c>
      <c r="K183" s="324">
        <f>G183*H183</f>
        <v>0</v>
      </c>
      <c r="L183" s="324">
        <v>8.8000000000000003E-4</v>
      </c>
      <c r="M183" s="324">
        <f>G183*L183</f>
        <v>2.64E-3</v>
      </c>
      <c r="N183" s="325" t="s">
        <v>809</v>
      </c>
      <c r="O183" s="282"/>
      <c r="Z183" s="324">
        <f>IF(AQ183="5",BJ183,0)</f>
        <v>0</v>
      </c>
      <c r="AB183" s="324">
        <f>IF(AQ183="1",BH183,0)</f>
        <v>0</v>
      </c>
      <c r="AC183" s="324">
        <f>IF(AQ183="1",BI183,0)</f>
        <v>0</v>
      </c>
      <c r="AD183" s="324">
        <f>IF(AQ183="7",BH183,0)</f>
        <v>0</v>
      </c>
      <c r="AE183" s="324">
        <f>IF(AQ183="7",BI183,0)</f>
        <v>0</v>
      </c>
      <c r="AF183" s="324">
        <f>IF(AQ183="2",BH183,0)</f>
        <v>0</v>
      </c>
      <c r="AG183" s="324">
        <f>IF(AQ183="2",BI183,0)</f>
        <v>0</v>
      </c>
      <c r="AH183" s="324">
        <f>IF(AQ183="0",BJ183,0)</f>
        <v>0</v>
      </c>
      <c r="AI183" s="299" t="s">
        <v>805</v>
      </c>
      <c r="AJ183" s="324">
        <f>IF(AN183=0,K183,0)</f>
        <v>0</v>
      </c>
      <c r="AK183" s="324">
        <f>IF(AN183=15,K183,0)</f>
        <v>0</v>
      </c>
      <c r="AL183" s="324">
        <f>IF(AN183=21,K183,0)</f>
        <v>0</v>
      </c>
      <c r="AN183" s="324">
        <v>21</v>
      </c>
      <c r="AO183" s="324">
        <f>H183*0.33225</f>
        <v>0</v>
      </c>
      <c r="AP183" s="324">
        <f>H183*(1-0.33225)</f>
        <v>0</v>
      </c>
      <c r="AQ183" s="326" t="s">
        <v>810</v>
      </c>
      <c r="AV183" s="324">
        <f>AW183+AX183</f>
        <v>0</v>
      </c>
      <c r="AW183" s="324">
        <f>G183*AO183</f>
        <v>0</v>
      </c>
      <c r="AX183" s="324">
        <f>G183*AP183</f>
        <v>0</v>
      </c>
      <c r="AY183" s="326" t="s">
        <v>1004</v>
      </c>
      <c r="AZ183" s="326" t="s">
        <v>821</v>
      </c>
      <c r="BA183" s="299" t="s">
        <v>813</v>
      </c>
      <c r="BC183" s="324">
        <f>AW183+AX183</f>
        <v>0</v>
      </c>
      <c r="BD183" s="324">
        <f>H183/(100-BE183)*100</f>
        <v>0</v>
      </c>
      <c r="BE183" s="324">
        <v>0</v>
      </c>
      <c r="BF183" s="324">
        <f>M183</f>
        <v>2.64E-3</v>
      </c>
      <c r="BH183" s="324">
        <f>G183*AO183</f>
        <v>0</v>
      </c>
      <c r="BI183" s="324">
        <f>G183*AP183</f>
        <v>0</v>
      </c>
      <c r="BJ183" s="324">
        <f>G183*H183</f>
        <v>0</v>
      </c>
      <c r="BK183" s="324" t="s">
        <v>814</v>
      </c>
      <c r="BL183" s="324">
        <v>725</v>
      </c>
    </row>
    <row r="184" spans="1:64" x14ac:dyDescent="0.2">
      <c r="A184" s="282"/>
      <c r="D184" s="327" t="s">
        <v>63</v>
      </c>
      <c r="E184" s="327"/>
      <c r="G184" s="328">
        <v>3</v>
      </c>
      <c r="H184" s="429"/>
      <c r="N184" s="329"/>
      <c r="O184" s="282"/>
    </row>
    <row r="185" spans="1:64" x14ac:dyDescent="0.2">
      <c r="A185" s="322" t="s">
        <v>1076</v>
      </c>
      <c r="B185" s="323" t="s">
        <v>805</v>
      </c>
      <c r="C185" s="323" t="s">
        <v>1077</v>
      </c>
      <c r="D185" s="285" t="s">
        <v>1078</v>
      </c>
      <c r="E185" s="285"/>
      <c r="F185" s="323" t="s">
        <v>230</v>
      </c>
      <c r="G185" s="324">
        <v>3</v>
      </c>
      <c r="H185" s="428"/>
      <c r="I185" s="324">
        <f>G185*AO185</f>
        <v>0</v>
      </c>
      <c r="J185" s="324">
        <f>G185*AP185</f>
        <v>0</v>
      </c>
      <c r="K185" s="324">
        <f>G185*H185</f>
        <v>0</v>
      </c>
      <c r="L185" s="324">
        <v>2.5899999999999999E-3</v>
      </c>
      <c r="M185" s="324">
        <f>G185*L185</f>
        <v>7.7699999999999991E-3</v>
      </c>
      <c r="N185" s="325" t="s">
        <v>809</v>
      </c>
      <c r="O185" s="282"/>
      <c r="Z185" s="324">
        <f>IF(AQ185="5",BJ185,0)</f>
        <v>0</v>
      </c>
      <c r="AB185" s="324">
        <f>IF(AQ185="1",BH185,0)</f>
        <v>0</v>
      </c>
      <c r="AC185" s="324">
        <f>IF(AQ185="1",BI185,0)</f>
        <v>0</v>
      </c>
      <c r="AD185" s="324">
        <f>IF(AQ185="7",BH185,0)</f>
        <v>0</v>
      </c>
      <c r="AE185" s="324">
        <f>IF(AQ185="7",BI185,0)</f>
        <v>0</v>
      </c>
      <c r="AF185" s="324">
        <f>IF(AQ185="2",BH185,0)</f>
        <v>0</v>
      </c>
      <c r="AG185" s="324">
        <f>IF(AQ185="2",BI185,0)</f>
        <v>0</v>
      </c>
      <c r="AH185" s="324">
        <f>IF(AQ185="0",BJ185,0)</f>
        <v>0</v>
      </c>
      <c r="AI185" s="299" t="s">
        <v>805</v>
      </c>
      <c r="AJ185" s="324">
        <f>IF(AN185=0,K185,0)</f>
        <v>0</v>
      </c>
      <c r="AK185" s="324">
        <f>IF(AN185=15,K185,0)</f>
        <v>0</v>
      </c>
      <c r="AL185" s="324">
        <f>IF(AN185=21,K185,0)</f>
        <v>0</v>
      </c>
      <c r="AN185" s="324">
        <v>21</v>
      </c>
      <c r="AO185" s="324">
        <f>H185*1</f>
        <v>0</v>
      </c>
      <c r="AP185" s="324">
        <f>H185*(1-1)</f>
        <v>0</v>
      </c>
      <c r="AQ185" s="326" t="s">
        <v>810</v>
      </c>
      <c r="AV185" s="324">
        <f>AW185+AX185</f>
        <v>0</v>
      </c>
      <c r="AW185" s="324">
        <f>G185*AO185</f>
        <v>0</v>
      </c>
      <c r="AX185" s="324">
        <f>G185*AP185</f>
        <v>0</v>
      </c>
      <c r="AY185" s="326" t="s">
        <v>1004</v>
      </c>
      <c r="AZ185" s="326" t="s">
        <v>821</v>
      </c>
      <c r="BA185" s="299" t="s">
        <v>813</v>
      </c>
      <c r="BC185" s="324">
        <f>AW185+AX185</f>
        <v>0</v>
      </c>
      <c r="BD185" s="324">
        <f>H185/(100-BE185)*100</f>
        <v>0</v>
      </c>
      <c r="BE185" s="324">
        <v>0</v>
      </c>
      <c r="BF185" s="324">
        <f>M185</f>
        <v>7.7699999999999991E-3</v>
      </c>
      <c r="BH185" s="324">
        <f>G185*AO185</f>
        <v>0</v>
      </c>
      <c r="BI185" s="324">
        <f>G185*AP185</f>
        <v>0</v>
      </c>
      <c r="BJ185" s="324">
        <f>G185*H185</f>
        <v>0</v>
      </c>
      <c r="BK185" s="324" t="s">
        <v>934</v>
      </c>
      <c r="BL185" s="324">
        <v>725</v>
      </c>
    </row>
    <row r="186" spans="1:64" x14ac:dyDescent="0.2">
      <c r="A186" s="282"/>
      <c r="D186" s="327" t="s">
        <v>63</v>
      </c>
      <c r="E186" s="327"/>
      <c r="G186" s="328">
        <v>3</v>
      </c>
      <c r="H186" s="429"/>
      <c r="N186" s="329"/>
      <c r="O186" s="282"/>
    </row>
    <row r="187" spans="1:64" x14ac:dyDescent="0.2">
      <c r="A187" s="322" t="s">
        <v>1079</v>
      </c>
      <c r="B187" s="323" t="s">
        <v>805</v>
      </c>
      <c r="C187" s="323" t="s">
        <v>1080</v>
      </c>
      <c r="D187" s="285" t="s">
        <v>1081</v>
      </c>
      <c r="E187" s="285"/>
      <c r="F187" s="323" t="s">
        <v>230</v>
      </c>
      <c r="G187" s="324">
        <v>15</v>
      </c>
      <c r="H187" s="428"/>
      <c r="I187" s="324">
        <f>G187*AO187</f>
        <v>0</v>
      </c>
      <c r="J187" s="324">
        <f>G187*AP187</f>
        <v>0</v>
      </c>
      <c r="K187" s="324">
        <f>G187*H187</f>
        <v>0</v>
      </c>
      <c r="L187" s="324">
        <v>6.9999999999999999E-4</v>
      </c>
      <c r="M187" s="324">
        <f>G187*L187</f>
        <v>1.0500000000000001E-2</v>
      </c>
      <c r="N187" s="325" t="s">
        <v>809</v>
      </c>
      <c r="O187" s="282"/>
      <c r="Z187" s="324">
        <f>IF(AQ187="5",BJ187,0)</f>
        <v>0</v>
      </c>
      <c r="AB187" s="324">
        <f>IF(AQ187="1",BH187,0)</f>
        <v>0</v>
      </c>
      <c r="AC187" s="324">
        <f>IF(AQ187="1",BI187,0)</f>
        <v>0</v>
      </c>
      <c r="AD187" s="324">
        <f>IF(AQ187="7",BH187,0)</f>
        <v>0</v>
      </c>
      <c r="AE187" s="324">
        <f>IF(AQ187="7",BI187,0)</f>
        <v>0</v>
      </c>
      <c r="AF187" s="324">
        <f>IF(AQ187="2",BH187,0)</f>
        <v>0</v>
      </c>
      <c r="AG187" s="324">
        <f>IF(AQ187="2",BI187,0)</f>
        <v>0</v>
      </c>
      <c r="AH187" s="324">
        <f>IF(AQ187="0",BJ187,0)</f>
        <v>0</v>
      </c>
      <c r="AI187" s="299" t="s">
        <v>805</v>
      </c>
      <c r="AJ187" s="324">
        <f>IF(AN187=0,K187,0)</f>
        <v>0</v>
      </c>
      <c r="AK187" s="324">
        <f>IF(AN187=15,K187,0)</f>
        <v>0</v>
      </c>
      <c r="AL187" s="324">
        <f>IF(AN187=21,K187,0)</f>
        <v>0</v>
      </c>
      <c r="AN187" s="324">
        <v>21</v>
      </c>
      <c r="AO187" s="324">
        <f>H187*0.398119122257053</f>
        <v>0</v>
      </c>
      <c r="AP187" s="324">
        <f>H187*(1-0.398119122257053)</f>
        <v>0</v>
      </c>
      <c r="AQ187" s="326" t="s">
        <v>810</v>
      </c>
      <c r="AV187" s="324">
        <f>AW187+AX187</f>
        <v>0</v>
      </c>
      <c r="AW187" s="324">
        <f>G187*AO187</f>
        <v>0</v>
      </c>
      <c r="AX187" s="324">
        <f>G187*AP187</f>
        <v>0</v>
      </c>
      <c r="AY187" s="326" t="s">
        <v>1004</v>
      </c>
      <c r="AZ187" s="326" t="s">
        <v>821</v>
      </c>
      <c r="BA187" s="299" t="s">
        <v>813</v>
      </c>
      <c r="BC187" s="324">
        <f>AW187+AX187</f>
        <v>0</v>
      </c>
      <c r="BD187" s="324">
        <f>H187/(100-BE187)*100</f>
        <v>0</v>
      </c>
      <c r="BE187" s="324">
        <v>0</v>
      </c>
      <c r="BF187" s="324">
        <f>M187</f>
        <v>1.0500000000000001E-2</v>
      </c>
      <c r="BH187" s="324">
        <f>G187*AO187</f>
        <v>0</v>
      </c>
      <c r="BI187" s="324">
        <f>G187*AP187</f>
        <v>0</v>
      </c>
      <c r="BJ187" s="324">
        <f>G187*H187</f>
        <v>0</v>
      </c>
      <c r="BK187" s="324" t="s">
        <v>814</v>
      </c>
      <c r="BL187" s="324">
        <v>725</v>
      </c>
    </row>
    <row r="188" spans="1:64" x14ac:dyDescent="0.2">
      <c r="A188" s="282"/>
      <c r="D188" s="327" t="s">
        <v>863</v>
      </c>
      <c r="E188" s="327"/>
      <c r="G188" s="328">
        <v>15</v>
      </c>
      <c r="H188" s="429"/>
      <c r="N188" s="329"/>
      <c r="O188" s="282"/>
    </row>
    <row r="189" spans="1:64" x14ac:dyDescent="0.2">
      <c r="A189" s="322" t="s">
        <v>1082</v>
      </c>
      <c r="B189" s="323" t="s">
        <v>805</v>
      </c>
      <c r="C189" s="323" t="s">
        <v>1083</v>
      </c>
      <c r="D189" s="285" t="s">
        <v>1084</v>
      </c>
      <c r="E189" s="285"/>
      <c r="F189" s="323" t="s">
        <v>155</v>
      </c>
      <c r="G189" s="324">
        <v>1.47</v>
      </c>
      <c r="H189" s="428"/>
      <c r="I189" s="324">
        <f>G189*AO189</f>
        <v>0</v>
      </c>
      <c r="J189" s="324">
        <f>G189*AP189</f>
        <v>0</v>
      </c>
      <c r="K189" s="324">
        <f>G189*H189</f>
        <v>0</v>
      </c>
      <c r="L189" s="324">
        <v>0</v>
      </c>
      <c r="M189" s="324">
        <f>G189*L189</f>
        <v>0</v>
      </c>
      <c r="N189" s="325" t="s">
        <v>809</v>
      </c>
      <c r="O189" s="282"/>
      <c r="Z189" s="324">
        <f>IF(AQ189="5",BJ189,0)</f>
        <v>0</v>
      </c>
      <c r="AB189" s="324">
        <f>IF(AQ189="1",BH189,0)</f>
        <v>0</v>
      </c>
      <c r="AC189" s="324">
        <f>IF(AQ189="1",BI189,0)</f>
        <v>0</v>
      </c>
      <c r="AD189" s="324">
        <f>IF(AQ189="7",BH189,0)</f>
        <v>0</v>
      </c>
      <c r="AE189" s="324">
        <f>IF(AQ189="7",BI189,0)</f>
        <v>0</v>
      </c>
      <c r="AF189" s="324">
        <f>IF(AQ189="2",BH189,0)</f>
        <v>0</v>
      </c>
      <c r="AG189" s="324">
        <f>IF(AQ189="2",BI189,0)</f>
        <v>0</v>
      </c>
      <c r="AH189" s="324">
        <f>IF(AQ189="0",BJ189,0)</f>
        <v>0</v>
      </c>
      <c r="AI189" s="299" t="s">
        <v>805</v>
      </c>
      <c r="AJ189" s="324">
        <f>IF(AN189=0,K189,0)</f>
        <v>0</v>
      </c>
      <c r="AK189" s="324">
        <f>IF(AN189=15,K189,0)</f>
        <v>0</v>
      </c>
      <c r="AL189" s="324">
        <f>IF(AN189=21,K189,0)</f>
        <v>0</v>
      </c>
      <c r="AN189" s="324">
        <v>21</v>
      </c>
      <c r="AO189" s="324">
        <f>H189*0</f>
        <v>0</v>
      </c>
      <c r="AP189" s="324">
        <f>H189*(1-0)</f>
        <v>0</v>
      </c>
      <c r="AQ189" s="326" t="s">
        <v>829</v>
      </c>
      <c r="AV189" s="324">
        <f>AW189+AX189</f>
        <v>0</v>
      </c>
      <c r="AW189" s="324">
        <f>G189*AO189</f>
        <v>0</v>
      </c>
      <c r="AX189" s="324">
        <f>G189*AP189</f>
        <v>0</v>
      </c>
      <c r="AY189" s="326" t="s">
        <v>1004</v>
      </c>
      <c r="AZ189" s="326" t="s">
        <v>821</v>
      </c>
      <c r="BA189" s="299" t="s">
        <v>813</v>
      </c>
      <c r="BC189" s="324">
        <f>AW189+AX189</f>
        <v>0</v>
      </c>
      <c r="BD189" s="324">
        <f>H189/(100-BE189)*100</f>
        <v>0</v>
      </c>
      <c r="BE189" s="324">
        <v>0</v>
      </c>
      <c r="BF189" s="324">
        <f>M189</f>
        <v>0</v>
      </c>
      <c r="BH189" s="324">
        <f>G189*AO189</f>
        <v>0</v>
      </c>
      <c r="BI189" s="324">
        <f>G189*AP189</f>
        <v>0</v>
      </c>
      <c r="BJ189" s="324">
        <f>G189*H189</f>
        <v>0</v>
      </c>
      <c r="BK189" s="324" t="s">
        <v>814</v>
      </c>
      <c r="BL189" s="324">
        <v>725</v>
      </c>
    </row>
    <row r="190" spans="1:64" x14ac:dyDescent="0.2">
      <c r="A190" s="322" t="s">
        <v>1085</v>
      </c>
      <c r="B190" s="323" t="s">
        <v>805</v>
      </c>
      <c r="C190" s="323" t="s">
        <v>1086</v>
      </c>
      <c r="D190" s="285" t="s">
        <v>1087</v>
      </c>
      <c r="E190" s="285"/>
      <c r="F190" s="323" t="s">
        <v>486</v>
      </c>
      <c r="G190" s="324">
        <v>21</v>
      </c>
      <c r="H190" s="428"/>
      <c r="I190" s="324">
        <f>G190*AO190</f>
        <v>0</v>
      </c>
      <c r="J190" s="324">
        <f>G190*AP190</f>
        <v>0</v>
      </c>
      <c r="K190" s="324">
        <f>G190*H190</f>
        <v>0</v>
      </c>
      <c r="L190" s="324">
        <v>3.4200000000000001E-2</v>
      </c>
      <c r="M190" s="324">
        <f>G190*L190</f>
        <v>0.71820000000000006</v>
      </c>
      <c r="N190" s="325" t="s">
        <v>809</v>
      </c>
      <c r="O190" s="282"/>
      <c r="Z190" s="324">
        <f>IF(AQ190="5",BJ190,0)</f>
        <v>0</v>
      </c>
      <c r="AB190" s="324">
        <f>IF(AQ190="1",BH190,0)</f>
        <v>0</v>
      </c>
      <c r="AC190" s="324">
        <f>IF(AQ190="1",BI190,0)</f>
        <v>0</v>
      </c>
      <c r="AD190" s="324">
        <f>IF(AQ190="7",BH190,0)</f>
        <v>0</v>
      </c>
      <c r="AE190" s="324">
        <f>IF(AQ190="7",BI190,0)</f>
        <v>0</v>
      </c>
      <c r="AF190" s="324">
        <f>IF(AQ190="2",BH190,0)</f>
        <v>0</v>
      </c>
      <c r="AG190" s="324">
        <f>IF(AQ190="2",BI190,0)</f>
        <v>0</v>
      </c>
      <c r="AH190" s="324">
        <f>IF(AQ190="0",BJ190,0)</f>
        <v>0</v>
      </c>
      <c r="AI190" s="299" t="s">
        <v>805</v>
      </c>
      <c r="AJ190" s="324">
        <f>IF(AN190=0,K190,0)</f>
        <v>0</v>
      </c>
      <c r="AK190" s="324">
        <f>IF(AN190=15,K190,0)</f>
        <v>0</v>
      </c>
      <c r="AL190" s="324">
        <f>IF(AN190=21,K190,0)</f>
        <v>0</v>
      </c>
      <c r="AN190" s="324">
        <v>21</v>
      </c>
      <c r="AO190" s="324">
        <f>H190*0</f>
        <v>0</v>
      </c>
      <c r="AP190" s="324">
        <f>H190*(1-0)</f>
        <v>0</v>
      </c>
      <c r="AQ190" s="326" t="s">
        <v>810</v>
      </c>
      <c r="AV190" s="324">
        <f>AW190+AX190</f>
        <v>0</v>
      </c>
      <c r="AW190" s="324">
        <f>G190*AO190</f>
        <v>0</v>
      </c>
      <c r="AX190" s="324">
        <f>G190*AP190</f>
        <v>0</v>
      </c>
      <c r="AY190" s="326" t="s">
        <v>1004</v>
      </c>
      <c r="AZ190" s="326" t="s">
        <v>821</v>
      </c>
      <c r="BA190" s="299" t="s">
        <v>813</v>
      </c>
      <c r="BC190" s="324">
        <f>AW190+AX190</f>
        <v>0</v>
      </c>
      <c r="BD190" s="324">
        <f>H190/(100-BE190)*100</f>
        <v>0</v>
      </c>
      <c r="BE190" s="324">
        <v>0</v>
      </c>
      <c r="BF190" s="324">
        <f>M190</f>
        <v>0.71820000000000006</v>
      </c>
      <c r="BH190" s="324">
        <f>G190*AO190</f>
        <v>0</v>
      </c>
      <c r="BI190" s="324">
        <f>G190*AP190</f>
        <v>0</v>
      </c>
      <c r="BJ190" s="324">
        <f>G190*H190</f>
        <v>0</v>
      </c>
      <c r="BK190" s="324" t="s">
        <v>814</v>
      </c>
      <c r="BL190" s="324">
        <v>725</v>
      </c>
    </row>
    <row r="191" spans="1:64" x14ac:dyDescent="0.2">
      <c r="A191" s="282"/>
      <c r="D191" s="327" t="s">
        <v>889</v>
      </c>
      <c r="E191" s="327"/>
      <c r="G191" s="328">
        <v>21</v>
      </c>
      <c r="H191" s="429"/>
      <c r="N191" s="329"/>
      <c r="O191" s="282"/>
    </row>
    <row r="192" spans="1:64" x14ac:dyDescent="0.2">
      <c r="A192" s="322" t="s">
        <v>1088</v>
      </c>
      <c r="B192" s="323" t="s">
        <v>805</v>
      </c>
      <c r="C192" s="323" t="s">
        <v>1089</v>
      </c>
      <c r="D192" s="285" t="s">
        <v>1090</v>
      </c>
      <c r="E192" s="285"/>
      <c r="F192" s="323" t="s">
        <v>486</v>
      </c>
      <c r="G192" s="324">
        <v>12</v>
      </c>
      <c r="H192" s="428"/>
      <c r="I192" s="324">
        <f>G192*AO192</f>
        <v>0</v>
      </c>
      <c r="J192" s="324">
        <f>G192*AP192</f>
        <v>0</v>
      </c>
      <c r="K192" s="324">
        <f>G192*H192</f>
        <v>0</v>
      </c>
      <c r="L192" s="324">
        <v>1.72E-2</v>
      </c>
      <c r="M192" s="324">
        <f>G192*L192</f>
        <v>0.2064</v>
      </c>
      <c r="N192" s="325" t="s">
        <v>809</v>
      </c>
      <c r="O192" s="282"/>
      <c r="Z192" s="324">
        <f>IF(AQ192="5",BJ192,0)</f>
        <v>0</v>
      </c>
      <c r="AB192" s="324">
        <f>IF(AQ192="1",BH192,0)</f>
        <v>0</v>
      </c>
      <c r="AC192" s="324">
        <f>IF(AQ192="1",BI192,0)</f>
        <v>0</v>
      </c>
      <c r="AD192" s="324">
        <f>IF(AQ192="7",BH192,0)</f>
        <v>0</v>
      </c>
      <c r="AE192" s="324">
        <f>IF(AQ192="7",BI192,0)</f>
        <v>0</v>
      </c>
      <c r="AF192" s="324">
        <f>IF(AQ192="2",BH192,0)</f>
        <v>0</v>
      </c>
      <c r="AG192" s="324">
        <f>IF(AQ192="2",BI192,0)</f>
        <v>0</v>
      </c>
      <c r="AH192" s="324">
        <f>IF(AQ192="0",BJ192,0)</f>
        <v>0</v>
      </c>
      <c r="AI192" s="299" t="s">
        <v>805</v>
      </c>
      <c r="AJ192" s="324">
        <f>IF(AN192=0,K192,0)</f>
        <v>0</v>
      </c>
      <c r="AK192" s="324">
        <f>IF(AN192=15,K192,0)</f>
        <v>0</v>
      </c>
      <c r="AL192" s="324">
        <f>IF(AN192=21,K192,0)</f>
        <v>0</v>
      </c>
      <c r="AN192" s="324">
        <v>21</v>
      </c>
      <c r="AO192" s="324">
        <f>H192*0</f>
        <v>0</v>
      </c>
      <c r="AP192" s="324">
        <f>H192*(1-0)</f>
        <v>0</v>
      </c>
      <c r="AQ192" s="326" t="s">
        <v>810</v>
      </c>
      <c r="AV192" s="324">
        <f>AW192+AX192</f>
        <v>0</v>
      </c>
      <c r="AW192" s="324">
        <f>G192*AO192</f>
        <v>0</v>
      </c>
      <c r="AX192" s="324">
        <f>G192*AP192</f>
        <v>0</v>
      </c>
      <c r="AY192" s="326" t="s">
        <v>1004</v>
      </c>
      <c r="AZ192" s="326" t="s">
        <v>821</v>
      </c>
      <c r="BA192" s="299" t="s">
        <v>813</v>
      </c>
      <c r="BC192" s="324">
        <f>AW192+AX192</f>
        <v>0</v>
      </c>
      <c r="BD192" s="324">
        <f>H192/(100-BE192)*100</f>
        <v>0</v>
      </c>
      <c r="BE192" s="324">
        <v>0</v>
      </c>
      <c r="BF192" s="324">
        <f>M192</f>
        <v>0.2064</v>
      </c>
      <c r="BH192" s="324">
        <f>G192*AO192</f>
        <v>0</v>
      </c>
      <c r="BI192" s="324">
        <f>G192*AP192</f>
        <v>0</v>
      </c>
      <c r="BJ192" s="324">
        <f>G192*H192</f>
        <v>0</v>
      </c>
      <c r="BK192" s="324" t="s">
        <v>814</v>
      </c>
      <c r="BL192" s="324">
        <v>725</v>
      </c>
    </row>
    <row r="193" spans="1:64" x14ac:dyDescent="0.2">
      <c r="A193" s="282"/>
      <c r="D193" s="327" t="s">
        <v>857</v>
      </c>
      <c r="E193" s="327"/>
      <c r="G193" s="328">
        <v>12</v>
      </c>
      <c r="H193" s="429"/>
      <c r="N193" s="329"/>
      <c r="O193" s="282"/>
    </row>
    <row r="194" spans="1:64" x14ac:dyDescent="0.2">
      <c r="A194" s="322" t="s">
        <v>1091</v>
      </c>
      <c r="B194" s="323" t="s">
        <v>805</v>
      </c>
      <c r="C194" s="323" t="s">
        <v>1092</v>
      </c>
      <c r="D194" s="285" t="s">
        <v>1093</v>
      </c>
      <c r="E194" s="285"/>
      <c r="F194" s="323" t="s">
        <v>486</v>
      </c>
      <c r="G194" s="324">
        <v>29</v>
      </c>
      <c r="H194" s="428"/>
      <c r="I194" s="324">
        <f>G194*AO194</f>
        <v>0</v>
      </c>
      <c r="J194" s="324">
        <f>G194*AP194</f>
        <v>0</v>
      </c>
      <c r="K194" s="324">
        <f>G194*H194</f>
        <v>0</v>
      </c>
      <c r="L194" s="324">
        <v>1.9460000000000002E-2</v>
      </c>
      <c r="M194" s="324">
        <f>G194*L194</f>
        <v>0.56434000000000006</v>
      </c>
      <c r="N194" s="325" t="s">
        <v>809</v>
      </c>
      <c r="O194" s="282"/>
      <c r="Z194" s="324">
        <f>IF(AQ194="5",BJ194,0)</f>
        <v>0</v>
      </c>
      <c r="AB194" s="324">
        <f>IF(AQ194="1",BH194,0)</f>
        <v>0</v>
      </c>
      <c r="AC194" s="324">
        <f>IF(AQ194="1",BI194,0)</f>
        <v>0</v>
      </c>
      <c r="AD194" s="324">
        <f>IF(AQ194="7",BH194,0)</f>
        <v>0</v>
      </c>
      <c r="AE194" s="324">
        <f>IF(AQ194="7",BI194,0)</f>
        <v>0</v>
      </c>
      <c r="AF194" s="324">
        <f>IF(AQ194="2",BH194,0)</f>
        <v>0</v>
      </c>
      <c r="AG194" s="324">
        <f>IF(AQ194="2",BI194,0)</f>
        <v>0</v>
      </c>
      <c r="AH194" s="324">
        <f>IF(AQ194="0",BJ194,0)</f>
        <v>0</v>
      </c>
      <c r="AI194" s="299" t="s">
        <v>805</v>
      </c>
      <c r="AJ194" s="324">
        <f>IF(AN194=0,K194,0)</f>
        <v>0</v>
      </c>
      <c r="AK194" s="324">
        <f>IF(AN194=15,K194,0)</f>
        <v>0</v>
      </c>
      <c r="AL194" s="324">
        <f>IF(AN194=21,K194,0)</f>
        <v>0</v>
      </c>
      <c r="AN194" s="324">
        <v>21</v>
      </c>
      <c r="AO194" s="324">
        <f>H194*0</f>
        <v>0</v>
      </c>
      <c r="AP194" s="324">
        <f>H194*(1-0)</f>
        <v>0</v>
      </c>
      <c r="AQ194" s="326" t="s">
        <v>810</v>
      </c>
      <c r="AV194" s="324">
        <f>AW194+AX194</f>
        <v>0</v>
      </c>
      <c r="AW194" s="324">
        <f>G194*AO194</f>
        <v>0</v>
      </c>
      <c r="AX194" s="324">
        <f>G194*AP194</f>
        <v>0</v>
      </c>
      <c r="AY194" s="326" t="s">
        <v>1004</v>
      </c>
      <c r="AZ194" s="326" t="s">
        <v>821</v>
      </c>
      <c r="BA194" s="299" t="s">
        <v>813</v>
      </c>
      <c r="BC194" s="324">
        <f>AW194+AX194</f>
        <v>0</v>
      </c>
      <c r="BD194" s="324">
        <f>H194/(100-BE194)*100</f>
        <v>0</v>
      </c>
      <c r="BE194" s="324">
        <v>0</v>
      </c>
      <c r="BF194" s="324">
        <f>M194</f>
        <v>0.56434000000000006</v>
      </c>
      <c r="BH194" s="324">
        <f>G194*AO194</f>
        <v>0</v>
      </c>
      <c r="BI194" s="324">
        <f>G194*AP194</f>
        <v>0</v>
      </c>
      <c r="BJ194" s="324">
        <f>G194*H194</f>
        <v>0</v>
      </c>
      <c r="BK194" s="324" t="s">
        <v>814</v>
      </c>
      <c r="BL194" s="324">
        <v>725</v>
      </c>
    </row>
    <row r="195" spans="1:64" x14ac:dyDescent="0.2">
      <c r="A195" s="282"/>
      <c r="D195" s="327" t="s">
        <v>922</v>
      </c>
      <c r="E195" s="327"/>
      <c r="G195" s="328">
        <v>29</v>
      </c>
      <c r="H195" s="429"/>
      <c r="N195" s="329"/>
      <c r="O195" s="282"/>
    </row>
    <row r="196" spans="1:64" x14ac:dyDescent="0.2">
      <c r="A196" s="322" t="s">
        <v>1094</v>
      </c>
      <c r="B196" s="323" t="s">
        <v>805</v>
      </c>
      <c r="C196" s="323" t="s">
        <v>1095</v>
      </c>
      <c r="D196" s="285" t="s">
        <v>1096</v>
      </c>
      <c r="E196" s="285"/>
      <c r="F196" s="323" t="s">
        <v>230</v>
      </c>
      <c r="G196" s="324">
        <v>42</v>
      </c>
      <c r="H196" s="428"/>
      <c r="I196" s="324">
        <f>G196*AO196</f>
        <v>0</v>
      </c>
      <c r="J196" s="324">
        <f>G196*AP196</f>
        <v>0</v>
      </c>
      <c r="K196" s="324">
        <f>G196*H196</f>
        <v>0</v>
      </c>
      <c r="L196" s="324">
        <v>0</v>
      </c>
      <c r="M196" s="324">
        <f>G196*L196</f>
        <v>0</v>
      </c>
      <c r="N196" s="325" t="s">
        <v>809</v>
      </c>
      <c r="O196" s="282"/>
      <c r="Z196" s="324">
        <f>IF(AQ196="5",BJ196,0)</f>
        <v>0</v>
      </c>
      <c r="AB196" s="324">
        <f>IF(AQ196="1",BH196,0)</f>
        <v>0</v>
      </c>
      <c r="AC196" s="324">
        <f>IF(AQ196="1",BI196,0)</f>
        <v>0</v>
      </c>
      <c r="AD196" s="324">
        <f>IF(AQ196="7",BH196,0)</f>
        <v>0</v>
      </c>
      <c r="AE196" s="324">
        <f>IF(AQ196="7",BI196,0)</f>
        <v>0</v>
      </c>
      <c r="AF196" s="324">
        <f>IF(AQ196="2",BH196,0)</f>
        <v>0</v>
      </c>
      <c r="AG196" s="324">
        <f>IF(AQ196="2",BI196,0)</f>
        <v>0</v>
      </c>
      <c r="AH196" s="324">
        <f>IF(AQ196="0",BJ196,0)</f>
        <v>0</v>
      </c>
      <c r="AI196" s="299" t="s">
        <v>805</v>
      </c>
      <c r="AJ196" s="324">
        <f>IF(AN196=0,K196,0)</f>
        <v>0</v>
      </c>
      <c r="AK196" s="324">
        <f>IF(AN196=15,K196,0)</f>
        <v>0</v>
      </c>
      <c r="AL196" s="324">
        <f>IF(AN196=21,K196,0)</f>
        <v>0</v>
      </c>
      <c r="AN196" s="324">
        <v>21</v>
      </c>
      <c r="AO196" s="324">
        <f>H196*0</f>
        <v>0</v>
      </c>
      <c r="AP196" s="324">
        <f>H196*(1-0)</f>
        <v>0</v>
      </c>
      <c r="AQ196" s="326" t="s">
        <v>810</v>
      </c>
      <c r="AV196" s="324">
        <f>AW196+AX196</f>
        <v>0</v>
      </c>
      <c r="AW196" s="324">
        <f>G196*AO196</f>
        <v>0</v>
      </c>
      <c r="AX196" s="324">
        <f>G196*AP196</f>
        <v>0</v>
      </c>
      <c r="AY196" s="326" t="s">
        <v>1004</v>
      </c>
      <c r="AZ196" s="326" t="s">
        <v>821</v>
      </c>
      <c r="BA196" s="299" t="s">
        <v>813</v>
      </c>
      <c r="BC196" s="324">
        <f>AW196+AX196</f>
        <v>0</v>
      </c>
      <c r="BD196" s="324">
        <f>H196/(100-BE196)*100</f>
        <v>0</v>
      </c>
      <c r="BE196" s="324">
        <v>0</v>
      </c>
      <c r="BF196" s="324">
        <f>M196</f>
        <v>0</v>
      </c>
      <c r="BH196" s="324">
        <f>G196*AO196</f>
        <v>0</v>
      </c>
      <c r="BI196" s="324">
        <f>G196*AP196</f>
        <v>0</v>
      </c>
      <c r="BJ196" s="324">
        <f>G196*H196</f>
        <v>0</v>
      </c>
      <c r="BK196" s="324" t="s">
        <v>814</v>
      </c>
      <c r="BL196" s="324">
        <v>725</v>
      </c>
    </row>
    <row r="197" spans="1:64" x14ac:dyDescent="0.2">
      <c r="A197" s="282"/>
      <c r="D197" s="327" t="s">
        <v>966</v>
      </c>
      <c r="E197" s="327"/>
      <c r="G197" s="328">
        <v>42</v>
      </c>
      <c r="H197" s="429"/>
      <c r="N197" s="329"/>
      <c r="O197" s="282"/>
    </row>
    <row r="198" spans="1:64" x14ac:dyDescent="0.2">
      <c r="A198" s="322" t="s">
        <v>1097</v>
      </c>
      <c r="B198" s="323" t="s">
        <v>805</v>
      </c>
      <c r="C198" s="323" t="s">
        <v>1098</v>
      </c>
      <c r="D198" s="285" t="s">
        <v>1099</v>
      </c>
      <c r="E198" s="285"/>
      <c r="F198" s="323" t="s">
        <v>486</v>
      </c>
      <c r="G198" s="324">
        <v>3</v>
      </c>
      <c r="H198" s="428"/>
      <c r="I198" s="324">
        <f>G198*AO198</f>
        <v>0</v>
      </c>
      <c r="J198" s="324">
        <f>G198*AP198</f>
        <v>0</v>
      </c>
      <c r="K198" s="324">
        <f>G198*H198</f>
        <v>0</v>
      </c>
      <c r="L198" s="324">
        <v>1.7600000000000001E-2</v>
      </c>
      <c r="M198" s="324">
        <f>G198*L198</f>
        <v>5.28E-2</v>
      </c>
      <c r="N198" s="325" t="s">
        <v>809</v>
      </c>
      <c r="O198" s="282"/>
      <c r="Z198" s="324">
        <f>IF(AQ198="5",BJ198,0)</f>
        <v>0</v>
      </c>
      <c r="AB198" s="324">
        <f>IF(AQ198="1",BH198,0)</f>
        <v>0</v>
      </c>
      <c r="AC198" s="324">
        <f>IF(AQ198="1",BI198,0)</f>
        <v>0</v>
      </c>
      <c r="AD198" s="324">
        <f>IF(AQ198="7",BH198,0)</f>
        <v>0</v>
      </c>
      <c r="AE198" s="324">
        <f>IF(AQ198="7",BI198,0)</f>
        <v>0</v>
      </c>
      <c r="AF198" s="324">
        <f>IF(AQ198="2",BH198,0)</f>
        <v>0</v>
      </c>
      <c r="AG198" s="324">
        <f>IF(AQ198="2",BI198,0)</f>
        <v>0</v>
      </c>
      <c r="AH198" s="324">
        <f>IF(AQ198="0",BJ198,0)</f>
        <v>0</v>
      </c>
      <c r="AI198" s="299" t="s">
        <v>805</v>
      </c>
      <c r="AJ198" s="324">
        <f>IF(AN198=0,K198,0)</f>
        <v>0</v>
      </c>
      <c r="AK198" s="324">
        <f>IF(AN198=15,K198,0)</f>
        <v>0</v>
      </c>
      <c r="AL198" s="324">
        <f>IF(AN198=21,K198,0)</f>
        <v>0</v>
      </c>
      <c r="AN198" s="324">
        <v>21</v>
      </c>
      <c r="AO198" s="324">
        <f>H198*0</f>
        <v>0</v>
      </c>
      <c r="AP198" s="324">
        <f>H198*(1-0)</f>
        <v>0</v>
      </c>
      <c r="AQ198" s="326" t="s">
        <v>810</v>
      </c>
      <c r="AV198" s="324">
        <f>AW198+AX198</f>
        <v>0</v>
      </c>
      <c r="AW198" s="324">
        <f>G198*AO198</f>
        <v>0</v>
      </c>
      <c r="AX198" s="324">
        <f>G198*AP198</f>
        <v>0</v>
      </c>
      <c r="AY198" s="326" t="s">
        <v>1004</v>
      </c>
      <c r="AZ198" s="326" t="s">
        <v>821</v>
      </c>
      <c r="BA198" s="299" t="s">
        <v>813</v>
      </c>
      <c r="BC198" s="324">
        <f>AW198+AX198</f>
        <v>0</v>
      </c>
      <c r="BD198" s="324">
        <f>H198/(100-BE198)*100</f>
        <v>0</v>
      </c>
      <c r="BE198" s="324">
        <v>0</v>
      </c>
      <c r="BF198" s="324">
        <f>M198</f>
        <v>5.28E-2</v>
      </c>
      <c r="BH198" s="324">
        <f>G198*AO198</f>
        <v>0</v>
      </c>
      <c r="BI198" s="324">
        <f>G198*AP198</f>
        <v>0</v>
      </c>
      <c r="BJ198" s="324">
        <f>G198*H198</f>
        <v>0</v>
      </c>
      <c r="BK198" s="324" t="s">
        <v>814</v>
      </c>
      <c r="BL198" s="324">
        <v>725</v>
      </c>
    </row>
    <row r="199" spans="1:64" x14ac:dyDescent="0.2">
      <c r="A199" s="282"/>
      <c r="D199" s="327" t="s">
        <v>63</v>
      </c>
      <c r="E199" s="327"/>
      <c r="G199" s="328">
        <v>3</v>
      </c>
      <c r="H199" s="429"/>
      <c r="N199" s="329"/>
      <c r="O199" s="282"/>
    </row>
    <row r="200" spans="1:64" x14ac:dyDescent="0.2">
      <c r="A200" s="322" t="s">
        <v>1100</v>
      </c>
      <c r="B200" s="323" t="s">
        <v>805</v>
      </c>
      <c r="C200" s="323" t="s">
        <v>1101</v>
      </c>
      <c r="D200" s="285" t="s">
        <v>1102</v>
      </c>
      <c r="E200" s="285"/>
      <c r="F200" s="323" t="s">
        <v>486</v>
      </c>
      <c r="G200" s="324">
        <v>1</v>
      </c>
      <c r="H200" s="428"/>
      <c r="I200" s="324">
        <f>G200*AO200</f>
        <v>0</v>
      </c>
      <c r="J200" s="324">
        <f>G200*AP200</f>
        <v>0</v>
      </c>
      <c r="K200" s="324">
        <f>G200*H200</f>
        <v>0</v>
      </c>
      <c r="L200" s="324">
        <v>1.7069999999999998E-2</v>
      </c>
      <c r="M200" s="324">
        <f>G200*L200</f>
        <v>1.7069999999999998E-2</v>
      </c>
      <c r="N200" s="325" t="s">
        <v>809</v>
      </c>
      <c r="O200" s="282"/>
      <c r="Z200" s="324">
        <f>IF(AQ200="5",BJ200,0)</f>
        <v>0</v>
      </c>
      <c r="AB200" s="324">
        <f>IF(AQ200="1",BH200,0)</f>
        <v>0</v>
      </c>
      <c r="AC200" s="324">
        <f>IF(AQ200="1",BI200,0)</f>
        <v>0</v>
      </c>
      <c r="AD200" s="324">
        <f>IF(AQ200="7",BH200,0)</f>
        <v>0</v>
      </c>
      <c r="AE200" s="324">
        <f>IF(AQ200="7",BI200,0)</f>
        <v>0</v>
      </c>
      <c r="AF200" s="324">
        <f>IF(AQ200="2",BH200,0)</f>
        <v>0</v>
      </c>
      <c r="AG200" s="324">
        <f>IF(AQ200="2",BI200,0)</f>
        <v>0</v>
      </c>
      <c r="AH200" s="324">
        <f>IF(AQ200="0",BJ200,0)</f>
        <v>0</v>
      </c>
      <c r="AI200" s="299" t="s">
        <v>805</v>
      </c>
      <c r="AJ200" s="324">
        <f>IF(AN200=0,K200,0)</f>
        <v>0</v>
      </c>
      <c r="AK200" s="324">
        <f>IF(AN200=15,K200,0)</f>
        <v>0</v>
      </c>
      <c r="AL200" s="324">
        <f>IF(AN200=21,K200,0)</f>
        <v>0</v>
      </c>
      <c r="AN200" s="324">
        <v>21</v>
      </c>
      <c r="AO200" s="324">
        <f>H200*0</f>
        <v>0</v>
      </c>
      <c r="AP200" s="324">
        <f>H200*(1-0)</f>
        <v>0</v>
      </c>
      <c r="AQ200" s="326" t="s">
        <v>810</v>
      </c>
      <c r="AV200" s="324">
        <f>AW200+AX200</f>
        <v>0</v>
      </c>
      <c r="AW200" s="324">
        <f>G200*AO200</f>
        <v>0</v>
      </c>
      <c r="AX200" s="324">
        <f>G200*AP200</f>
        <v>0</v>
      </c>
      <c r="AY200" s="326" t="s">
        <v>1004</v>
      </c>
      <c r="AZ200" s="326" t="s">
        <v>821</v>
      </c>
      <c r="BA200" s="299" t="s">
        <v>813</v>
      </c>
      <c r="BC200" s="324">
        <f>AW200+AX200</f>
        <v>0</v>
      </c>
      <c r="BD200" s="324">
        <f>H200/(100-BE200)*100</f>
        <v>0</v>
      </c>
      <c r="BE200" s="324">
        <v>0</v>
      </c>
      <c r="BF200" s="324">
        <f>M200</f>
        <v>1.7069999999999998E-2</v>
      </c>
      <c r="BH200" s="324">
        <f>G200*AO200</f>
        <v>0</v>
      </c>
      <c r="BI200" s="324">
        <f>G200*AP200</f>
        <v>0</v>
      </c>
      <c r="BJ200" s="324">
        <f>G200*H200</f>
        <v>0</v>
      </c>
      <c r="BK200" s="324" t="s">
        <v>814</v>
      </c>
      <c r="BL200" s="324">
        <v>725</v>
      </c>
    </row>
    <row r="201" spans="1:64" x14ac:dyDescent="0.2">
      <c r="A201" s="282"/>
      <c r="D201" s="327" t="s">
        <v>354</v>
      </c>
      <c r="E201" s="327"/>
      <c r="G201" s="328">
        <v>1</v>
      </c>
      <c r="H201" s="429"/>
      <c r="N201" s="329"/>
      <c r="O201" s="282"/>
    </row>
    <row r="202" spans="1:64" x14ac:dyDescent="0.2">
      <c r="A202" s="322" t="s">
        <v>1103</v>
      </c>
      <c r="B202" s="323" t="s">
        <v>805</v>
      </c>
      <c r="C202" s="323" t="s">
        <v>1104</v>
      </c>
      <c r="D202" s="285" t="s">
        <v>1105</v>
      </c>
      <c r="E202" s="285"/>
      <c r="F202" s="323" t="s">
        <v>486</v>
      </c>
      <c r="G202" s="324">
        <v>3</v>
      </c>
      <c r="H202" s="428"/>
      <c r="I202" s="324">
        <f>G202*AO202</f>
        <v>0</v>
      </c>
      <c r="J202" s="324">
        <f>G202*AP202</f>
        <v>0</v>
      </c>
      <c r="K202" s="324">
        <f>G202*H202</f>
        <v>0</v>
      </c>
      <c r="L202" s="324">
        <v>3.4700000000000002E-2</v>
      </c>
      <c r="M202" s="324">
        <f>G202*L202</f>
        <v>0.1041</v>
      </c>
      <c r="N202" s="325" t="s">
        <v>809</v>
      </c>
      <c r="O202" s="282"/>
      <c r="Z202" s="324">
        <f>IF(AQ202="5",BJ202,0)</f>
        <v>0</v>
      </c>
      <c r="AB202" s="324">
        <f>IF(AQ202="1",BH202,0)</f>
        <v>0</v>
      </c>
      <c r="AC202" s="324">
        <f>IF(AQ202="1",BI202,0)</f>
        <v>0</v>
      </c>
      <c r="AD202" s="324">
        <f>IF(AQ202="7",BH202,0)</f>
        <v>0</v>
      </c>
      <c r="AE202" s="324">
        <f>IF(AQ202="7",BI202,0)</f>
        <v>0</v>
      </c>
      <c r="AF202" s="324">
        <f>IF(AQ202="2",BH202,0)</f>
        <v>0</v>
      </c>
      <c r="AG202" s="324">
        <f>IF(AQ202="2",BI202,0)</f>
        <v>0</v>
      </c>
      <c r="AH202" s="324">
        <f>IF(AQ202="0",BJ202,0)</f>
        <v>0</v>
      </c>
      <c r="AI202" s="299" t="s">
        <v>805</v>
      </c>
      <c r="AJ202" s="324">
        <f>IF(AN202=0,K202,0)</f>
        <v>0</v>
      </c>
      <c r="AK202" s="324">
        <f>IF(AN202=15,K202,0)</f>
        <v>0</v>
      </c>
      <c r="AL202" s="324">
        <f>IF(AN202=21,K202,0)</f>
        <v>0</v>
      </c>
      <c r="AN202" s="324">
        <v>21</v>
      </c>
      <c r="AO202" s="324">
        <f>H202*0</f>
        <v>0</v>
      </c>
      <c r="AP202" s="324">
        <f>H202*(1-0)</f>
        <v>0</v>
      </c>
      <c r="AQ202" s="326" t="s">
        <v>810</v>
      </c>
      <c r="AV202" s="324">
        <f>AW202+AX202</f>
        <v>0</v>
      </c>
      <c r="AW202" s="324">
        <f>G202*AO202</f>
        <v>0</v>
      </c>
      <c r="AX202" s="324">
        <f>G202*AP202</f>
        <v>0</v>
      </c>
      <c r="AY202" s="326" t="s">
        <v>1004</v>
      </c>
      <c r="AZ202" s="326" t="s">
        <v>821</v>
      </c>
      <c r="BA202" s="299" t="s">
        <v>813</v>
      </c>
      <c r="BC202" s="324">
        <f>AW202+AX202</f>
        <v>0</v>
      </c>
      <c r="BD202" s="324">
        <f>H202/(100-BE202)*100</f>
        <v>0</v>
      </c>
      <c r="BE202" s="324">
        <v>0</v>
      </c>
      <c r="BF202" s="324">
        <f>M202</f>
        <v>0.1041</v>
      </c>
      <c r="BH202" s="324">
        <f>G202*AO202</f>
        <v>0</v>
      </c>
      <c r="BI202" s="324">
        <f>G202*AP202</f>
        <v>0</v>
      </c>
      <c r="BJ202" s="324">
        <f>G202*H202</f>
        <v>0</v>
      </c>
      <c r="BK202" s="324" t="s">
        <v>814</v>
      </c>
      <c r="BL202" s="324">
        <v>725</v>
      </c>
    </row>
    <row r="203" spans="1:64" x14ac:dyDescent="0.2">
      <c r="A203" s="282"/>
      <c r="D203" s="327" t="s">
        <v>63</v>
      </c>
      <c r="E203" s="327"/>
      <c r="G203" s="328">
        <v>3</v>
      </c>
      <c r="H203" s="429"/>
      <c r="N203" s="329"/>
      <c r="O203" s="282"/>
    </row>
    <row r="204" spans="1:64" x14ac:dyDescent="0.2">
      <c r="A204" s="322" t="s">
        <v>1106</v>
      </c>
      <c r="B204" s="323" t="s">
        <v>805</v>
      </c>
      <c r="C204" s="323" t="s">
        <v>1107</v>
      </c>
      <c r="D204" s="285" t="s">
        <v>1108</v>
      </c>
      <c r="E204" s="285"/>
      <c r="F204" s="323" t="s">
        <v>486</v>
      </c>
      <c r="G204" s="324">
        <v>36</v>
      </c>
      <c r="H204" s="428"/>
      <c r="I204" s="324">
        <f>G204*AO204</f>
        <v>0</v>
      </c>
      <c r="J204" s="324">
        <f>G204*AP204</f>
        <v>0</v>
      </c>
      <c r="K204" s="324">
        <f>G204*H204</f>
        <v>0</v>
      </c>
      <c r="L204" s="324">
        <v>1.56E-3</v>
      </c>
      <c r="M204" s="324">
        <f>G204*L204</f>
        <v>5.6160000000000002E-2</v>
      </c>
      <c r="N204" s="325" t="s">
        <v>809</v>
      </c>
      <c r="O204" s="282"/>
      <c r="Z204" s="324">
        <f>IF(AQ204="5",BJ204,0)</f>
        <v>0</v>
      </c>
      <c r="AB204" s="324">
        <f>IF(AQ204="1",BH204,0)</f>
        <v>0</v>
      </c>
      <c r="AC204" s="324">
        <f>IF(AQ204="1",BI204,0)</f>
        <v>0</v>
      </c>
      <c r="AD204" s="324">
        <f>IF(AQ204="7",BH204,0)</f>
        <v>0</v>
      </c>
      <c r="AE204" s="324">
        <f>IF(AQ204="7",BI204,0)</f>
        <v>0</v>
      </c>
      <c r="AF204" s="324">
        <f>IF(AQ204="2",BH204,0)</f>
        <v>0</v>
      </c>
      <c r="AG204" s="324">
        <f>IF(AQ204="2",BI204,0)</f>
        <v>0</v>
      </c>
      <c r="AH204" s="324">
        <f>IF(AQ204="0",BJ204,0)</f>
        <v>0</v>
      </c>
      <c r="AI204" s="299" t="s">
        <v>805</v>
      </c>
      <c r="AJ204" s="324">
        <f>IF(AN204=0,K204,0)</f>
        <v>0</v>
      </c>
      <c r="AK204" s="324">
        <f>IF(AN204=15,K204,0)</f>
        <v>0</v>
      </c>
      <c r="AL204" s="324">
        <f>IF(AN204=21,K204,0)</f>
        <v>0</v>
      </c>
      <c r="AN204" s="324">
        <v>21</v>
      </c>
      <c r="AO204" s="324">
        <f>H204*0</f>
        <v>0</v>
      </c>
      <c r="AP204" s="324">
        <f>H204*(1-0)</f>
        <v>0</v>
      </c>
      <c r="AQ204" s="326" t="s">
        <v>810</v>
      </c>
      <c r="AV204" s="324">
        <f>AW204+AX204</f>
        <v>0</v>
      </c>
      <c r="AW204" s="324">
        <f>G204*AO204</f>
        <v>0</v>
      </c>
      <c r="AX204" s="324">
        <f>G204*AP204</f>
        <v>0</v>
      </c>
      <c r="AY204" s="326" t="s">
        <v>1004</v>
      </c>
      <c r="AZ204" s="326" t="s">
        <v>821</v>
      </c>
      <c r="BA204" s="299" t="s">
        <v>813</v>
      </c>
      <c r="BC204" s="324">
        <f>AW204+AX204</f>
        <v>0</v>
      </c>
      <c r="BD204" s="324">
        <f>H204/(100-BE204)*100</f>
        <v>0</v>
      </c>
      <c r="BE204" s="324">
        <v>0</v>
      </c>
      <c r="BF204" s="324">
        <f>M204</f>
        <v>5.6160000000000002E-2</v>
      </c>
      <c r="BH204" s="324">
        <f>G204*AO204</f>
        <v>0</v>
      </c>
      <c r="BI204" s="324">
        <f>G204*AP204</f>
        <v>0</v>
      </c>
      <c r="BJ204" s="324">
        <f>G204*H204</f>
        <v>0</v>
      </c>
      <c r="BK204" s="324" t="s">
        <v>814</v>
      </c>
      <c r="BL204" s="324">
        <v>725</v>
      </c>
    </row>
    <row r="205" spans="1:64" x14ac:dyDescent="0.2">
      <c r="A205" s="282"/>
      <c r="D205" s="327" t="s">
        <v>949</v>
      </c>
      <c r="E205" s="327"/>
      <c r="G205" s="328">
        <v>36</v>
      </c>
      <c r="H205" s="429"/>
      <c r="N205" s="329"/>
      <c r="O205" s="282"/>
    </row>
    <row r="206" spans="1:64" x14ac:dyDescent="0.2">
      <c r="A206" s="322" t="s">
        <v>1109</v>
      </c>
      <c r="B206" s="323" t="s">
        <v>805</v>
      </c>
      <c r="C206" s="323" t="s">
        <v>1110</v>
      </c>
      <c r="D206" s="285" t="s">
        <v>1111</v>
      </c>
      <c r="E206" s="285"/>
      <c r="F206" s="323" t="s">
        <v>155</v>
      </c>
      <c r="G206" s="324">
        <v>1.72</v>
      </c>
      <c r="H206" s="428"/>
      <c r="I206" s="324">
        <f>G206*AO206</f>
        <v>0</v>
      </c>
      <c r="J206" s="324">
        <f>G206*AP206</f>
        <v>0</v>
      </c>
      <c r="K206" s="324">
        <f>G206*H206</f>
        <v>0</v>
      </c>
      <c r="L206" s="324">
        <v>0</v>
      </c>
      <c r="M206" s="324">
        <f>G206*L206</f>
        <v>0</v>
      </c>
      <c r="N206" s="325" t="s">
        <v>809</v>
      </c>
      <c r="O206" s="282"/>
      <c r="Z206" s="324">
        <f>IF(AQ206="5",BJ206,0)</f>
        <v>0</v>
      </c>
      <c r="AB206" s="324">
        <f>IF(AQ206="1",BH206,0)</f>
        <v>0</v>
      </c>
      <c r="AC206" s="324">
        <f>IF(AQ206="1",BI206,0)</f>
        <v>0</v>
      </c>
      <c r="AD206" s="324">
        <f>IF(AQ206="7",BH206,0)</f>
        <v>0</v>
      </c>
      <c r="AE206" s="324">
        <f>IF(AQ206="7",BI206,0)</f>
        <v>0</v>
      </c>
      <c r="AF206" s="324">
        <f>IF(AQ206="2",BH206,0)</f>
        <v>0</v>
      </c>
      <c r="AG206" s="324">
        <f>IF(AQ206="2",BI206,0)</f>
        <v>0</v>
      </c>
      <c r="AH206" s="324">
        <f>IF(AQ206="0",BJ206,0)</f>
        <v>0</v>
      </c>
      <c r="AI206" s="299" t="s">
        <v>805</v>
      </c>
      <c r="AJ206" s="324">
        <f>IF(AN206=0,K206,0)</f>
        <v>0</v>
      </c>
      <c r="AK206" s="324">
        <f>IF(AN206=15,K206,0)</f>
        <v>0</v>
      </c>
      <c r="AL206" s="324">
        <f>IF(AN206=21,K206,0)</f>
        <v>0</v>
      </c>
      <c r="AN206" s="324">
        <v>21</v>
      </c>
      <c r="AO206" s="324">
        <f>H206*0</f>
        <v>0</v>
      </c>
      <c r="AP206" s="324">
        <f>H206*(1-0)</f>
        <v>0</v>
      </c>
      <c r="AQ206" s="326" t="s">
        <v>810</v>
      </c>
      <c r="AV206" s="324">
        <f>AW206+AX206</f>
        <v>0</v>
      </c>
      <c r="AW206" s="324">
        <f>G206*AO206</f>
        <v>0</v>
      </c>
      <c r="AX206" s="324">
        <f>G206*AP206</f>
        <v>0</v>
      </c>
      <c r="AY206" s="326" t="s">
        <v>1004</v>
      </c>
      <c r="AZ206" s="326" t="s">
        <v>821</v>
      </c>
      <c r="BA206" s="299" t="s">
        <v>813</v>
      </c>
      <c r="BC206" s="324">
        <f>AW206+AX206</f>
        <v>0</v>
      </c>
      <c r="BD206" s="324">
        <f>H206/(100-BE206)*100</f>
        <v>0</v>
      </c>
      <c r="BE206" s="324">
        <v>0</v>
      </c>
      <c r="BF206" s="324">
        <f>M206</f>
        <v>0</v>
      </c>
      <c r="BH206" s="324">
        <f>G206*AO206</f>
        <v>0</v>
      </c>
      <c r="BI206" s="324">
        <f>G206*AP206</f>
        <v>0</v>
      </c>
      <c r="BJ206" s="324">
        <f>G206*H206</f>
        <v>0</v>
      </c>
      <c r="BK206" s="324" t="s">
        <v>814</v>
      </c>
      <c r="BL206" s="324">
        <v>725</v>
      </c>
    </row>
    <row r="207" spans="1:64" x14ac:dyDescent="0.2">
      <c r="A207" s="282"/>
      <c r="D207" s="327" t="s">
        <v>1112</v>
      </c>
      <c r="E207" s="327"/>
      <c r="G207" s="328">
        <v>1.72</v>
      </c>
      <c r="H207" s="429"/>
      <c r="N207" s="329"/>
      <c r="O207" s="282"/>
    </row>
    <row r="208" spans="1:64" x14ac:dyDescent="0.2">
      <c r="A208" s="316"/>
      <c r="B208" s="317" t="s">
        <v>805</v>
      </c>
      <c r="C208" s="317" t="s">
        <v>1113</v>
      </c>
      <c r="D208" s="318" t="s">
        <v>1114</v>
      </c>
      <c r="E208" s="318"/>
      <c r="F208" s="319" t="s">
        <v>771</v>
      </c>
      <c r="G208" s="319" t="s">
        <v>771</v>
      </c>
      <c r="H208" s="430"/>
      <c r="I208" s="320">
        <f>SUM(I209:I223)</f>
        <v>0</v>
      </c>
      <c r="J208" s="320">
        <f>SUM(J209:J223)</f>
        <v>0</v>
      </c>
      <c r="K208" s="320">
        <f>SUM(K209:K223)</f>
        <v>0</v>
      </c>
      <c r="L208" s="299"/>
      <c r="M208" s="320">
        <f>SUM(M209:M223)</f>
        <v>0</v>
      </c>
      <c r="N208" s="321"/>
      <c r="O208" s="282"/>
      <c r="AI208" s="299" t="s">
        <v>805</v>
      </c>
      <c r="AS208" s="320">
        <f>SUM(AJ209:AJ223)</f>
        <v>0</v>
      </c>
      <c r="AT208" s="320">
        <f>SUM(AK209:AK223)</f>
        <v>0</v>
      </c>
      <c r="AU208" s="320">
        <f>SUM(AL209:AL223)</f>
        <v>0</v>
      </c>
    </row>
    <row r="209" spans="1:64" x14ac:dyDescent="0.2">
      <c r="A209" s="322" t="s">
        <v>1115</v>
      </c>
      <c r="B209" s="323" t="s">
        <v>805</v>
      </c>
      <c r="C209" s="323" t="s">
        <v>1116</v>
      </c>
      <c r="D209" s="285" t="s">
        <v>1117</v>
      </c>
      <c r="E209" s="285"/>
      <c r="F209" s="323" t="s">
        <v>155</v>
      </c>
      <c r="G209" s="324">
        <v>6.03</v>
      </c>
      <c r="H209" s="428"/>
      <c r="I209" s="324">
        <f>G209*AO209</f>
        <v>0</v>
      </c>
      <c r="J209" s="324">
        <f>G209*AP209</f>
        <v>0</v>
      </c>
      <c r="K209" s="324">
        <f>G209*H209</f>
        <v>0</v>
      </c>
      <c r="L209" s="324">
        <v>0</v>
      </c>
      <c r="M209" s="324">
        <f>G209*L209</f>
        <v>0</v>
      </c>
      <c r="N209" s="325" t="s">
        <v>809</v>
      </c>
      <c r="O209" s="282"/>
      <c r="Z209" s="324">
        <f>IF(AQ209="5",BJ209,0)</f>
        <v>0</v>
      </c>
      <c r="AB209" s="324">
        <f>IF(AQ209="1",BH209,0)</f>
        <v>0</v>
      </c>
      <c r="AC209" s="324">
        <f>IF(AQ209="1",BI209,0)</f>
        <v>0</v>
      </c>
      <c r="AD209" s="324">
        <f>IF(AQ209="7",BH209,0)</f>
        <v>0</v>
      </c>
      <c r="AE209" s="324">
        <f>IF(AQ209="7",BI209,0)</f>
        <v>0</v>
      </c>
      <c r="AF209" s="324">
        <f>IF(AQ209="2",BH209,0)</f>
        <v>0</v>
      </c>
      <c r="AG209" s="324">
        <f>IF(AQ209="2",BI209,0)</f>
        <v>0</v>
      </c>
      <c r="AH209" s="324">
        <f>IF(AQ209="0",BJ209,0)</f>
        <v>0</v>
      </c>
      <c r="AI209" s="299" t="s">
        <v>805</v>
      </c>
      <c r="AJ209" s="324">
        <f>IF(AN209=0,K209,0)</f>
        <v>0</v>
      </c>
      <c r="AK209" s="324">
        <f>IF(AN209=15,K209,0)</f>
        <v>0</v>
      </c>
      <c r="AL209" s="324">
        <f>IF(AN209=21,K209,0)</f>
        <v>0</v>
      </c>
      <c r="AN209" s="324">
        <v>21</v>
      </c>
      <c r="AO209" s="324">
        <f>H209*0</f>
        <v>0</v>
      </c>
      <c r="AP209" s="324">
        <f>H209*(1-0)</f>
        <v>0</v>
      </c>
      <c r="AQ209" s="326" t="s">
        <v>829</v>
      </c>
      <c r="AV209" s="324">
        <f>AW209+AX209</f>
        <v>0</v>
      </c>
      <c r="AW209" s="324">
        <f>G209*AO209</f>
        <v>0</v>
      </c>
      <c r="AX209" s="324">
        <f>G209*AP209</f>
        <v>0</v>
      </c>
      <c r="AY209" s="326" t="s">
        <v>1118</v>
      </c>
      <c r="AZ209" s="326" t="s">
        <v>1119</v>
      </c>
      <c r="BA209" s="299" t="s">
        <v>813</v>
      </c>
      <c r="BC209" s="324">
        <f>AW209+AX209</f>
        <v>0</v>
      </c>
      <c r="BD209" s="324">
        <f>H209/(100-BE209)*100</f>
        <v>0</v>
      </c>
      <c r="BE209" s="324">
        <v>0</v>
      </c>
      <c r="BF209" s="324">
        <f>M209</f>
        <v>0</v>
      </c>
      <c r="BH209" s="324">
        <f>G209*AO209</f>
        <v>0</v>
      </c>
      <c r="BI209" s="324">
        <f>G209*AP209</f>
        <v>0</v>
      </c>
      <c r="BJ209" s="324">
        <f>G209*H209</f>
        <v>0</v>
      </c>
      <c r="BK209" s="324" t="s">
        <v>814</v>
      </c>
      <c r="BL209" s="324" t="s">
        <v>1113</v>
      </c>
    </row>
    <row r="210" spans="1:64" x14ac:dyDescent="0.2">
      <c r="A210" s="282"/>
      <c r="D210" s="327" t="s">
        <v>1120</v>
      </c>
      <c r="E210" s="327"/>
      <c r="G210" s="328">
        <v>6.03</v>
      </c>
      <c r="H210" s="429"/>
      <c r="N210" s="329"/>
      <c r="O210" s="282"/>
    </row>
    <row r="211" spans="1:64" x14ac:dyDescent="0.2">
      <c r="A211" s="322" t="s">
        <v>1121</v>
      </c>
      <c r="B211" s="323" t="s">
        <v>805</v>
      </c>
      <c r="C211" s="323" t="s">
        <v>750</v>
      </c>
      <c r="D211" s="285" t="s">
        <v>751</v>
      </c>
      <c r="E211" s="285"/>
      <c r="F211" s="323" t="s">
        <v>155</v>
      </c>
      <c r="G211" s="324">
        <v>6.03</v>
      </c>
      <c r="H211" s="428"/>
      <c r="I211" s="324">
        <f>G211*AO211</f>
        <v>0</v>
      </c>
      <c r="J211" s="324">
        <f>G211*AP211</f>
        <v>0</v>
      </c>
      <c r="K211" s="324">
        <f>G211*H211</f>
        <v>0</v>
      </c>
      <c r="L211" s="324">
        <v>0</v>
      </c>
      <c r="M211" s="324">
        <f>G211*L211</f>
        <v>0</v>
      </c>
      <c r="N211" s="325" t="s">
        <v>809</v>
      </c>
      <c r="O211" s="282"/>
      <c r="Z211" s="324">
        <f>IF(AQ211="5",BJ211,0)</f>
        <v>0</v>
      </c>
      <c r="AB211" s="324">
        <f>IF(AQ211="1",BH211,0)</f>
        <v>0</v>
      </c>
      <c r="AC211" s="324">
        <f>IF(AQ211="1",BI211,0)</f>
        <v>0</v>
      </c>
      <c r="AD211" s="324">
        <f>IF(AQ211="7",BH211,0)</f>
        <v>0</v>
      </c>
      <c r="AE211" s="324">
        <f>IF(AQ211="7",BI211,0)</f>
        <v>0</v>
      </c>
      <c r="AF211" s="324">
        <f>IF(AQ211="2",BH211,0)</f>
        <v>0</v>
      </c>
      <c r="AG211" s="324">
        <f>IF(AQ211="2",BI211,0)</f>
        <v>0</v>
      </c>
      <c r="AH211" s="324">
        <f>IF(AQ211="0",BJ211,0)</f>
        <v>0</v>
      </c>
      <c r="AI211" s="299" t="s">
        <v>805</v>
      </c>
      <c r="AJ211" s="324">
        <f>IF(AN211=0,K211,0)</f>
        <v>0</v>
      </c>
      <c r="AK211" s="324">
        <f>IF(AN211=15,K211,0)</f>
        <v>0</v>
      </c>
      <c r="AL211" s="324">
        <f>IF(AN211=21,K211,0)</f>
        <v>0</v>
      </c>
      <c r="AN211" s="324">
        <v>21</v>
      </c>
      <c r="AO211" s="324">
        <f>H211*0</f>
        <v>0</v>
      </c>
      <c r="AP211" s="324">
        <f>H211*(1-0)</f>
        <v>0</v>
      </c>
      <c r="AQ211" s="326" t="s">
        <v>829</v>
      </c>
      <c r="AV211" s="324">
        <f>AW211+AX211</f>
        <v>0</v>
      </c>
      <c r="AW211" s="324">
        <f>G211*AO211</f>
        <v>0</v>
      </c>
      <c r="AX211" s="324">
        <f>G211*AP211</f>
        <v>0</v>
      </c>
      <c r="AY211" s="326" t="s">
        <v>1118</v>
      </c>
      <c r="AZ211" s="326" t="s">
        <v>1119</v>
      </c>
      <c r="BA211" s="299" t="s">
        <v>813</v>
      </c>
      <c r="BC211" s="324">
        <f>AW211+AX211</f>
        <v>0</v>
      </c>
      <c r="BD211" s="324">
        <f>H211/(100-BE211)*100</f>
        <v>0</v>
      </c>
      <c r="BE211" s="324">
        <v>0</v>
      </c>
      <c r="BF211" s="324">
        <f>M211</f>
        <v>0</v>
      </c>
      <c r="BH211" s="324">
        <f>G211*AO211</f>
        <v>0</v>
      </c>
      <c r="BI211" s="324">
        <f>G211*AP211</f>
        <v>0</v>
      </c>
      <c r="BJ211" s="324">
        <f>G211*H211</f>
        <v>0</v>
      </c>
      <c r="BK211" s="324" t="s">
        <v>814</v>
      </c>
      <c r="BL211" s="324" t="s">
        <v>1113</v>
      </c>
    </row>
    <row r="212" spans="1:64" x14ac:dyDescent="0.2">
      <c r="A212" s="282"/>
      <c r="D212" s="327" t="s">
        <v>1122</v>
      </c>
      <c r="E212" s="327"/>
      <c r="G212" s="328">
        <v>6.03</v>
      </c>
      <c r="H212" s="429"/>
      <c r="N212" s="329"/>
      <c r="O212" s="282"/>
    </row>
    <row r="213" spans="1:64" x14ac:dyDescent="0.2">
      <c r="A213" s="322" t="s">
        <v>1123</v>
      </c>
      <c r="B213" s="323" t="s">
        <v>805</v>
      </c>
      <c r="C213" s="323" t="s">
        <v>1124</v>
      </c>
      <c r="D213" s="285" t="s">
        <v>1125</v>
      </c>
      <c r="E213" s="285"/>
      <c r="F213" s="323" t="s">
        <v>155</v>
      </c>
      <c r="G213" s="324">
        <v>6.03</v>
      </c>
      <c r="H213" s="428"/>
      <c r="I213" s="324">
        <f>G213*AO213</f>
        <v>0</v>
      </c>
      <c r="J213" s="324">
        <f>G213*AP213</f>
        <v>0</v>
      </c>
      <c r="K213" s="324">
        <f>G213*H213</f>
        <v>0</v>
      </c>
      <c r="L213" s="324">
        <v>0</v>
      </c>
      <c r="M213" s="324">
        <f>G213*L213</f>
        <v>0</v>
      </c>
      <c r="N213" s="325" t="s">
        <v>809</v>
      </c>
      <c r="O213" s="282"/>
      <c r="Z213" s="324">
        <f>IF(AQ213="5",BJ213,0)</f>
        <v>0</v>
      </c>
      <c r="AB213" s="324">
        <f>IF(AQ213="1",BH213,0)</f>
        <v>0</v>
      </c>
      <c r="AC213" s="324">
        <f>IF(AQ213="1",BI213,0)</f>
        <v>0</v>
      </c>
      <c r="AD213" s="324">
        <f>IF(AQ213="7",BH213,0)</f>
        <v>0</v>
      </c>
      <c r="AE213" s="324">
        <f>IF(AQ213="7",BI213,0)</f>
        <v>0</v>
      </c>
      <c r="AF213" s="324">
        <f>IF(AQ213="2",BH213,0)</f>
        <v>0</v>
      </c>
      <c r="AG213" s="324">
        <f>IF(AQ213="2",BI213,0)</f>
        <v>0</v>
      </c>
      <c r="AH213" s="324">
        <f>IF(AQ213="0",BJ213,0)</f>
        <v>0</v>
      </c>
      <c r="AI213" s="299" t="s">
        <v>805</v>
      </c>
      <c r="AJ213" s="324">
        <f>IF(AN213=0,K213,0)</f>
        <v>0</v>
      </c>
      <c r="AK213" s="324">
        <f>IF(AN213=15,K213,0)</f>
        <v>0</v>
      </c>
      <c r="AL213" s="324">
        <f>IF(AN213=21,K213,0)</f>
        <v>0</v>
      </c>
      <c r="AN213" s="324">
        <v>21</v>
      </c>
      <c r="AO213" s="324">
        <f>H213*0</f>
        <v>0</v>
      </c>
      <c r="AP213" s="324">
        <f>H213*(1-0)</f>
        <v>0</v>
      </c>
      <c r="AQ213" s="326" t="s">
        <v>829</v>
      </c>
      <c r="AV213" s="324">
        <f>AW213+AX213</f>
        <v>0</v>
      </c>
      <c r="AW213" s="324">
        <f>G213*AO213</f>
        <v>0</v>
      </c>
      <c r="AX213" s="324">
        <f>G213*AP213</f>
        <v>0</v>
      </c>
      <c r="AY213" s="326" t="s">
        <v>1118</v>
      </c>
      <c r="AZ213" s="326" t="s">
        <v>1119</v>
      </c>
      <c r="BA213" s="299" t="s">
        <v>813</v>
      </c>
      <c r="BC213" s="324">
        <f>AW213+AX213</f>
        <v>0</v>
      </c>
      <c r="BD213" s="324">
        <f>H213/(100-BE213)*100</f>
        <v>0</v>
      </c>
      <c r="BE213" s="324">
        <v>0</v>
      </c>
      <c r="BF213" s="324">
        <f>M213</f>
        <v>0</v>
      </c>
      <c r="BH213" s="324">
        <f>G213*AO213</f>
        <v>0</v>
      </c>
      <c r="BI213" s="324">
        <f>G213*AP213</f>
        <v>0</v>
      </c>
      <c r="BJ213" s="324">
        <f>G213*H213</f>
        <v>0</v>
      </c>
      <c r="BK213" s="324" t="s">
        <v>814</v>
      </c>
      <c r="BL213" s="324" t="s">
        <v>1113</v>
      </c>
    </row>
    <row r="214" spans="1:64" x14ac:dyDescent="0.2">
      <c r="A214" s="282"/>
      <c r="D214" s="327" t="s">
        <v>1122</v>
      </c>
      <c r="E214" s="327"/>
      <c r="G214" s="328">
        <v>6.03</v>
      </c>
      <c r="H214" s="429"/>
      <c r="N214" s="329"/>
      <c r="O214" s="282"/>
    </row>
    <row r="215" spans="1:64" x14ac:dyDescent="0.2">
      <c r="A215" s="322" t="s">
        <v>1126</v>
      </c>
      <c r="B215" s="323" t="s">
        <v>805</v>
      </c>
      <c r="C215" s="323" t="s">
        <v>1127</v>
      </c>
      <c r="D215" s="285" t="s">
        <v>1128</v>
      </c>
      <c r="E215" s="285"/>
      <c r="F215" s="323" t="s">
        <v>155</v>
      </c>
      <c r="G215" s="324">
        <v>36.18</v>
      </c>
      <c r="H215" s="428"/>
      <c r="I215" s="324">
        <f>G215*AO215</f>
        <v>0</v>
      </c>
      <c r="J215" s="324">
        <f>G215*AP215</f>
        <v>0</v>
      </c>
      <c r="K215" s="324">
        <f>G215*H215</f>
        <v>0</v>
      </c>
      <c r="L215" s="324">
        <v>0</v>
      </c>
      <c r="M215" s="324">
        <f>G215*L215</f>
        <v>0</v>
      </c>
      <c r="N215" s="325" t="s">
        <v>809</v>
      </c>
      <c r="O215" s="282"/>
      <c r="Z215" s="324">
        <f>IF(AQ215="5",BJ215,0)</f>
        <v>0</v>
      </c>
      <c r="AB215" s="324">
        <f>IF(AQ215="1",BH215,0)</f>
        <v>0</v>
      </c>
      <c r="AC215" s="324">
        <f>IF(AQ215="1",BI215,0)</f>
        <v>0</v>
      </c>
      <c r="AD215" s="324">
        <f>IF(AQ215="7",BH215,0)</f>
        <v>0</v>
      </c>
      <c r="AE215" s="324">
        <f>IF(AQ215="7",BI215,0)</f>
        <v>0</v>
      </c>
      <c r="AF215" s="324">
        <f>IF(AQ215="2",BH215,0)</f>
        <v>0</v>
      </c>
      <c r="AG215" s="324">
        <f>IF(AQ215="2",BI215,0)</f>
        <v>0</v>
      </c>
      <c r="AH215" s="324">
        <f>IF(AQ215="0",BJ215,0)</f>
        <v>0</v>
      </c>
      <c r="AI215" s="299" t="s">
        <v>805</v>
      </c>
      <c r="AJ215" s="324">
        <f>IF(AN215=0,K215,0)</f>
        <v>0</v>
      </c>
      <c r="AK215" s="324">
        <f>IF(AN215=15,K215,0)</f>
        <v>0</v>
      </c>
      <c r="AL215" s="324">
        <f>IF(AN215=21,K215,0)</f>
        <v>0</v>
      </c>
      <c r="AN215" s="324">
        <v>21</v>
      </c>
      <c r="AO215" s="324">
        <f>H215*0</f>
        <v>0</v>
      </c>
      <c r="AP215" s="324">
        <f>H215*(1-0)</f>
        <v>0</v>
      </c>
      <c r="AQ215" s="326" t="s">
        <v>829</v>
      </c>
      <c r="AV215" s="324">
        <f>AW215+AX215</f>
        <v>0</v>
      </c>
      <c r="AW215" s="324">
        <f>G215*AO215</f>
        <v>0</v>
      </c>
      <c r="AX215" s="324">
        <f>G215*AP215</f>
        <v>0</v>
      </c>
      <c r="AY215" s="326" t="s">
        <v>1118</v>
      </c>
      <c r="AZ215" s="326" t="s">
        <v>1119</v>
      </c>
      <c r="BA215" s="299" t="s">
        <v>813</v>
      </c>
      <c r="BC215" s="324">
        <f>AW215+AX215</f>
        <v>0</v>
      </c>
      <c r="BD215" s="324">
        <f>H215/(100-BE215)*100</f>
        <v>0</v>
      </c>
      <c r="BE215" s="324">
        <v>0</v>
      </c>
      <c r="BF215" s="324">
        <f>M215</f>
        <v>0</v>
      </c>
      <c r="BH215" s="324">
        <f>G215*AO215</f>
        <v>0</v>
      </c>
      <c r="BI215" s="324">
        <f>G215*AP215</f>
        <v>0</v>
      </c>
      <c r="BJ215" s="324">
        <f>G215*H215</f>
        <v>0</v>
      </c>
      <c r="BK215" s="324" t="s">
        <v>814</v>
      </c>
      <c r="BL215" s="324" t="s">
        <v>1113</v>
      </c>
    </row>
    <row r="216" spans="1:64" x14ac:dyDescent="0.2">
      <c r="A216" s="282"/>
      <c r="D216" s="327" t="s">
        <v>1129</v>
      </c>
      <c r="E216" s="327"/>
      <c r="G216" s="328">
        <v>36.18</v>
      </c>
      <c r="H216" s="429"/>
      <c r="N216" s="329"/>
      <c r="O216" s="282"/>
    </row>
    <row r="217" spans="1:64" x14ac:dyDescent="0.2">
      <c r="A217" s="322" t="s">
        <v>1130</v>
      </c>
      <c r="B217" s="323" t="s">
        <v>805</v>
      </c>
      <c r="C217" s="323" t="s">
        <v>1131</v>
      </c>
      <c r="D217" s="285" t="s">
        <v>1132</v>
      </c>
      <c r="E217" s="285"/>
      <c r="F217" s="323" t="s">
        <v>155</v>
      </c>
      <c r="G217" s="324">
        <v>6.03</v>
      </c>
      <c r="H217" s="428"/>
      <c r="I217" s="324">
        <f>G217*AO217</f>
        <v>0</v>
      </c>
      <c r="J217" s="324">
        <f>G217*AP217</f>
        <v>0</v>
      </c>
      <c r="K217" s="324">
        <f>G217*H217</f>
        <v>0</v>
      </c>
      <c r="L217" s="324">
        <v>0</v>
      </c>
      <c r="M217" s="324">
        <f>G217*L217</f>
        <v>0</v>
      </c>
      <c r="N217" s="325" t="s">
        <v>809</v>
      </c>
      <c r="O217" s="282"/>
      <c r="Z217" s="324">
        <f>IF(AQ217="5",BJ217,0)</f>
        <v>0</v>
      </c>
      <c r="AB217" s="324">
        <f>IF(AQ217="1",BH217,0)</f>
        <v>0</v>
      </c>
      <c r="AC217" s="324">
        <f>IF(AQ217="1",BI217,0)</f>
        <v>0</v>
      </c>
      <c r="AD217" s="324">
        <f>IF(AQ217="7",BH217,0)</f>
        <v>0</v>
      </c>
      <c r="AE217" s="324">
        <f>IF(AQ217="7",BI217,0)</f>
        <v>0</v>
      </c>
      <c r="AF217" s="324">
        <f>IF(AQ217="2",BH217,0)</f>
        <v>0</v>
      </c>
      <c r="AG217" s="324">
        <f>IF(AQ217="2",BI217,0)</f>
        <v>0</v>
      </c>
      <c r="AH217" s="324">
        <f>IF(AQ217="0",BJ217,0)</f>
        <v>0</v>
      </c>
      <c r="AI217" s="299" t="s">
        <v>805</v>
      </c>
      <c r="AJ217" s="324">
        <f>IF(AN217=0,K217,0)</f>
        <v>0</v>
      </c>
      <c r="AK217" s="324">
        <f>IF(AN217=15,K217,0)</f>
        <v>0</v>
      </c>
      <c r="AL217" s="324">
        <f>IF(AN217=21,K217,0)</f>
        <v>0</v>
      </c>
      <c r="AN217" s="324">
        <v>21</v>
      </c>
      <c r="AO217" s="324">
        <f>H217*0</f>
        <v>0</v>
      </c>
      <c r="AP217" s="324">
        <f>H217*(1-0)</f>
        <v>0</v>
      </c>
      <c r="AQ217" s="326" t="s">
        <v>829</v>
      </c>
      <c r="AV217" s="324">
        <f>AW217+AX217</f>
        <v>0</v>
      </c>
      <c r="AW217" s="324">
        <f>G217*AO217</f>
        <v>0</v>
      </c>
      <c r="AX217" s="324">
        <f>G217*AP217</f>
        <v>0</v>
      </c>
      <c r="AY217" s="326" t="s">
        <v>1118</v>
      </c>
      <c r="AZ217" s="326" t="s">
        <v>1119</v>
      </c>
      <c r="BA217" s="299" t="s">
        <v>813</v>
      </c>
      <c r="BC217" s="324">
        <f>AW217+AX217</f>
        <v>0</v>
      </c>
      <c r="BD217" s="324">
        <f>H217/(100-BE217)*100</f>
        <v>0</v>
      </c>
      <c r="BE217" s="324">
        <v>0</v>
      </c>
      <c r="BF217" s="324">
        <f>M217</f>
        <v>0</v>
      </c>
      <c r="BH217" s="324">
        <f>G217*AO217</f>
        <v>0</v>
      </c>
      <c r="BI217" s="324">
        <f>G217*AP217</f>
        <v>0</v>
      </c>
      <c r="BJ217" s="324">
        <f>G217*H217</f>
        <v>0</v>
      </c>
      <c r="BK217" s="324" t="s">
        <v>814</v>
      </c>
      <c r="BL217" s="324" t="s">
        <v>1113</v>
      </c>
    </row>
    <row r="218" spans="1:64" x14ac:dyDescent="0.2">
      <c r="A218" s="282"/>
      <c r="D218" s="327" t="s">
        <v>1122</v>
      </c>
      <c r="E218" s="327"/>
      <c r="G218" s="328">
        <v>6.03</v>
      </c>
      <c r="H218" s="429"/>
      <c r="N218" s="329"/>
      <c r="O218" s="282"/>
    </row>
    <row r="219" spans="1:64" x14ac:dyDescent="0.2">
      <c r="A219" s="322" t="s">
        <v>1133</v>
      </c>
      <c r="B219" s="323" t="s">
        <v>805</v>
      </c>
      <c r="C219" s="323" t="s">
        <v>704</v>
      </c>
      <c r="D219" s="285" t="s">
        <v>705</v>
      </c>
      <c r="E219" s="285"/>
      <c r="F219" s="323" t="s">
        <v>155</v>
      </c>
      <c r="G219" s="324">
        <v>1.28</v>
      </c>
      <c r="H219" s="428"/>
      <c r="I219" s="324">
        <f>G219*AO219</f>
        <v>0</v>
      </c>
      <c r="J219" s="324">
        <f>G219*AP219</f>
        <v>0</v>
      </c>
      <c r="K219" s="324">
        <f>G219*H219</f>
        <v>0</v>
      </c>
      <c r="L219" s="324">
        <v>0</v>
      </c>
      <c r="M219" s="324">
        <f>G219*L219</f>
        <v>0</v>
      </c>
      <c r="N219" s="325" t="s">
        <v>809</v>
      </c>
      <c r="O219" s="282"/>
      <c r="Z219" s="324">
        <f>IF(AQ219="5",BJ219,0)</f>
        <v>0</v>
      </c>
      <c r="AB219" s="324">
        <f>IF(AQ219="1",BH219,0)</f>
        <v>0</v>
      </c>
      <c r="AC219" s="324">
        <f>IF(AQ219="1",BI219,0)</f>
        <v>0</v>
      </c>
      <c r="AD219" s="324">
        <f>IF(AQ219="7",BH219,0)</f>
        <v>0</v>
      </c>
      <c r="AE219" s="324">
        <f>IF(AQ219="7",BI219,0)</f>
        <v>0</v>
      </c>
      <c r="AF219" s="324">
        <f>IF(AQ219="2",BH219,0)</f>
        <v>0</v>
      </c>
      <c r="AG219" s="324">
        <f>IF(AQ219="2",BI219,0)</f>
        <v>0</v>
      </c>
      <c r="AH219" s="324">
        <f>IF(AQ219="0",BJ219,0)</f>
        <v>0</v>
      </c>
      <c r="AI219" s="299" t="s">
        <v>805</v>
      </c>
      <c r="AJ219" s="324">
        <f>IF(AN219=0,K219,0)</f>
        <v>0</v>
      </c>
      <c r="AK219" s="324">
        <f>IF(AN219=15,K219,0)</f>
        <v>0</v>
      </c>
      <c r="AL219" s="324">
        <f>IF(AN219=21,K219,0)</f>
        <v>0</v>
      </c>
      <c r="AN219" s="324">
        <v>21</v>
      </c>
      <c r="AO219" s="324">
        <f>H219*0</f>
        <v>0</v>
      </c>
      <c r="AP219" s="324">
        <f>H219*(1-0)</f>
        <v>0</v>
      </c>
      <c r="AQ219" s="326" t="s">
        <v>829</v>
      </c>
      <c r="AV219" s="324">
        <f>AW219+AX219</f>
        <v>0</v>
      </c>
      <c r="AW219" s="324">
        <f>G219*AO219</f>
        <v>0</v>
      </c>
      <c r="AX219" s="324">
        <f>G219*AP219</f>
        <v>0</v>
      </c>
      <c r="AY219" s="326" t="s">
        <v>1118</v>
      </c>
      <c r="AZ219" s="326" t="s">
        <v>1119</v>
      </c>
      <c r="BA219" s="299" t="s">
        <v>813</v>
      </c>
      <c r="BC219" s="324">
        <f>AW219+AX219</f>
        <v>0</v>
      </c>
      <c r="BD219" s="324">
        <f>H219/(100-BE219)*100</f>
        <v>0</v>
      </c>
      <c r="BE219" s="324">
        <v>0</v>
      </c>
      <c r="BF219" s="324">
        <f>M219</f>
        <v>0</v>
      </c>
      <c r="BH219" s="324">
        <f>G219*AO219</f>
        <v>0</v>
      </c>
      <c r="BI219" s="324">
        <f>G219*AP219</f>
        <v>0</v>
      </c>
      <c r="BJ219" s="324">
        <f>G219*H219</f>
        <v>0</v>
      </c>
      <c r="BK219" s="324" t="s">
        <v>814</v>
      </c>
      <c r="BL219" s="324" t="s">
        <v>1113</v>
      </c>
    </row>
    <row r="220" spans="1:64" x14ac:dyDescent="0.2">
      <c r="A220" s="282"/>
      <c r="D220" s="327" t="s">
        <v>1134</v>
      </c>
      <c r="E220" s="327"/>
      <c r="G220" s="328">
        <v>1.28</v>
      </c>
      <c r="H220" s="429"/>
      <c r="N220" s="329"/>
      <c r="O220" s="282"/>
    </row>
    <row r="221" spans="1:64" x14ac:dyDescent="0.2">
      <c r="A221" s="322" t="s">
        <v>73</v>
      </c>
      <c r="B221" s="323" t="s">
        <v>805</v>
      </c>
      <c r="C221" s="323" t="s">
        <v>1135</v>
      </c>
      <c r="D221" s="285" t="s">
        <v>1136</v>
      </c>
      <c r="E221" s="285"/>
      <c r="F221" s="323" t="s">
        <v>155</v>
      </c>
      <c r="G221" s="324">
        <v>3.03</v>
      </c>
      <c r="H221" s="428"/>
      <c r="I221" s="324">
        <f>G221*AO221</f>
        <v>0</v>
      </c>
      <c r="J221" s="324">
        <f>G221*AP221</f>
        <v>0</v>
      </c>
      <c r="K221" s="324">
        <f>G221*H221</f>
        <v>0</v>
      </c>
      <c r="L221" s="324">
        <v>0</v>
      </c>
      <c r="M221" s="324">
        <f>G221*L221</f>
        <v>0</v>
      </c>
      <c r="N221" s="325" t="s">
        <v>809</v>
      </c>
      <c r="O221" s="282"/>
      <c r="Z221" s="324">
        <f>IF(AQ221="5",BJ221,0)</f>
        <v>0</v>
      </c>
      <c r="AB221" s="324">
        <f>IF(AQ221="1",BH221,0)</f>
        <v>0</v>
      </c>
      <c r="AC221" s="324">
        <f>IF(AQ221="1",BI221,0)</f>
        <v>0</v>
      </c>
      <c r="AD221" s="324">
        <f>IF(AQ221="7",BH221,0)</f>
        <v>0</v>
      </c>
      <c r="AE221" s="324">
        <f>IF(AQ221="7",BI221,0)</f>
        <v>0</v>
      </c>
      <c r="AF221" s="324">
        <f>IF(AQ221="2",BH221,0)</f>
        <v>0</v>
      </c>
      <c r="AG221" s="324">
        <f>IF(AQ221="2",BI221,0)</f>
        <v>0</v>
      </c>
      <c r="AH221" s="324">
        <f>IF(AQ221="0",BJ221,0)</f>
        <v>0</v>
      </c>
      <c r="AI221" s="299" t="s">
        <v>805</v>
      </c>
      <c r="AJ221" s="324">
        <f>IF(AN221=0,K221,0)</f>
        <v>0</v>
      </c>
      <c r="AK221" s="324">
        <f>IF(AN221=15,K221,0)</f>
        <v>0</v>
      </c>
      <c r="AL221" s="324">
        <f>IF(AN221=21,K221,0)</f>
        <v>0</v>
      </c>
      <c r="AN221" s="324">
        <v>21</v>
      </c>
      <c r="AO221" s="324">
        <f>H221*0</f>
        <v>0</v>
      </c>
      <c r="AP221" s="324">
        <f>H221*(1-0)</f>
        <v>0</v>
      </c>
      <c r="AQ221" s="326" t="s">
        <v>829</v>
      </c>
      <c r="AV221" s="324">
        <f>AW221+AX221</f>
        <v>0</v>
      </c>
      <c r="AW221" s="324">
        <f>G221*AO221</f>
        <v>0</v>
      </c>
      <c r="AX221" s="324">
        <f>G221*AP221</f>
        <v>0</v>
      </c>
      <c r="AY221" s="326" t="s">
        <v>1118</v>
      </c>
      <c r="AZ221" s="326" t="s">
        <v>1119</v>
      </c>
      <c r="BA221" s="299" t="s">
        <v>813</v>
      </c>
      <c r="BC221" s="324">
        <f>AW221+AX221</f>
        <v>0</v>
      </c>
      <c r="BD221" s="324">
        <f>H221/(100-BE221)*100</f>
        <v>0</v>
      </c>
      <c r="BE221" s="324">
        <v>0</v>
      </c>
      <c r="BF221" s="324">
        <f>M221</f>
        <v>0</v>
      </c>
      <c r="BH221" s="324">
        <f>G221*AO221</f>
        <v>0</v>
      </c>
      <c r="BI221" s="324">
        <f>G221*AP221</f>
        <v>0</v>
      </c>
      <c r="BJ221" s="324">
        <f>G221*H221</f>
        <v>0</v>
      </c>
      <c r="BK221" s="324" t="s">
        <v>814</v>
      </c>
      <c r="BL221" s="324" t="s">
        <v>1113</v>
      </c>
    </row>
    <row r="222" spans="1:64" x14ac:dyDescent="0.2">
      <c r="A222" s="282"/>
      <c r="D222" s="327" t="s">
        <v>1137</v>
      </c>
      <c r="E222" s="327"/>
      <c r="G222" s="328">
        <v>3.03</v>
      </c>
      <c r="H222" s="429"/>
      <c r="N222" s="329"/>
      <c r="O222" s="282"/>
    </row>
    <row r="223" spans="1:64" x14ac:dyDescent="0.2">
      <c r="A223" s="322" t="s">
        <v>75</v>
      </c>
      <c r="B223" s="323" t="s">
        <v>805</v>
      </c>
      <c r="C223" s="323" t="s">
        <v>729</v>
      </c>
      <c r="D223" s="285" t="s">
        <v>730</v>
      </c>
      <c r="E223" s="285"/>
      <c r="F223" s="323" t="s">
        <v>155</v>
      </c>
      <c r="G223" s="324">
        <v>1.72</v>
      </c>
      <c r="H223" s="428"/>
      <c r="I223" s="324">
        <f>G223*AO223</f>
        <v>0</v>
      </c>
      <c r="J223" s="324">
        <f>G223*AP223</f>
        <v>0</v>
      </c>
      <c r="K223" s="324">
        <f>G223*H223</f>
        <v>0</v>
      </c>
      <c r="L223" s="324">
        <v>0</v>
      </c>
      <c r="M223" s="324">
        <f>G223*L223</f>
        <v>0</v>
      </c>
      <c r="N223" s="325" t="s">
        <v>809</v>
      </c>
      <c r="O223" s="282"/>
      <c r="Z223" s="324">
        <f>IF(AQ223="5",BJ223,0)</f>
        <v>0</v>
      </c>
      <c r="AB223" s="324">
        <f>IF(AQ223="1",BH223,0)</f>
        <v>0</v>
      </c>
      <c r="AC223" s="324">
        <f>IF(AQ223="1",BI223,0)</f>
        <v>0</v>
      </c>
      <c r="AD223" s="324">
        <f>IF(AQ223="7",BH223,0)</f>
        <v>0</v>
      </c>
      <c r="AE223" s="324">
        <f>IF(AQ223="7",BI223,0)</f>
        <v>0</v>
      </c>
      <c r="AF223" s="324">
        <f>IF(AQ223="2",BH223,0)</f>
        <v>0</v>
      </c>
      <c r="AG223" s="324">
        <f>IF(AQ223="2",BI223,0)</f>
        <v>0</v>
      </c>
      <c r="AH223" s="324">
        <f>IF(AQ223="0",BJ223,0)</f>
        <v>0</v>
      </c>
      <c r="AI223" s="299" t="s">
        <v>805</v>
      </c>
      <c r="AJ223" s="324">
        <f>IF(AN223=0,K223,0)</f>
        <v>0</v>
      </c>
      <c r="AK223" s="324">
        <f>IF(AN223=15,K223,0)</f>
        <v>0</v>
      </c>
      <c r="AL223" s="324">
        <f>IF(AN223=21,K223,0)</f>
        <v>0</v>
      </c>
      <c r="AN223" s="324">
        <v>21</v>
      </c>
      <c r="AO223" s="324">
        <f>H223*0</f>
        <v>0</v>
      </c>
      <c r="AP223" s="324">
        <f>H223*(1-0)</f>
        <v>0</v>
      </c>
      <c r="AQ223" s="326" t="s">
        <v>829</v>
      </c>
      <c r="AV223" s="324">
        <f>AW223+AX223</f>
        <v>0</v>
      </c>
      <c r="AW223" s="324">
        <f>G223*AO223</f>
        <v>0</v>
      </c>
      <c r="AX223" s="324">
        <f>G223*AP223</f>
        <v>0</v>
      </c>
      <c r="AY223" s="326" t="s">
        <v>1118</v>
      </c>
      <c r="AZ223" s="326" t="s">
        <v>1119</v>
      </c>
      <c r="BA223" s="299" t="s">
        <v>813</v>
      </c>
      <c r="BC223" s="324">
        <f>AW223+AX223</f>
        <v>0</v>
      </c>
      <c r="BD223" s="324">
        <f>H223/(100-BE223)*100</f>
        <v>0</v>
      </c>
      <c r="BE223" s="324">
        <v>0</v>
      </c>
      <c r="BF223" s="324">
        <f>M223</f>
        <v>0</v>
      </c>
      <c r="BH223" s="324">
        <f>G223*AO223</f>
        <v>0</v>
      </c>
      <c r="BI223" s="324">
        <f>G223*AP223</f>
        <v>0</v>
      </c>
      <c r="BJ223" s="324">
        <f>G223*H223</f>
        <v>0</v>
      </c>
      <c r="BK223" s="324" t="s">
        <v>814</v>
      </c>
      <c r="BL223" s="324" t="s">
        <v>1113</v>
      </c>
    </row>
    <row r="224" spans="1:64" x14ac:dyDescent="0.2">
      <c r="A224" s="333"/>
      <c r="B224" s="334"/>
      <c r="C224" s="334"/>
      <c r="D224" s="335" t="s">
        <v>1112</v>
      </c>
      <c r="E224" s="335"/>
      <c r="F224" s="334"/>
      <c r="G224" s="336">
        <v>1.72</v>
      </c>
      <c r="H224" s="432"/>
      <c r="I224" s="334"/>
      <c r="J224" s="334"/>
      <c r="K224" s="334"/>
      <c r="L224" s="334"/>
      <c r="M224" s="334"/>
      <c r="N224" s="337"/>
      <c r="O224" s="282"/>
    </row>
    <row r="225" spans="1:14" x14ac:dyDescent="0.2">
      <c r="A225" s="338"/>
      <c r="B225" s="338"/>
      <c r="C225" s="338"/>
      <c r="D225" s="338"/>
      <c r="E225" s="338"/>
      <c r="F225" s="338"/>
      <c r="G225" s="338"/>
      <c r="H225" s="338"/>
      <c r="I225" s="339" t="s">
        <v>1138</v>
      </c>
      <c r="J225" s="339"/>
      <c r="K225" s="340">
        <f>K13+K16+K49+K128+K208</f>
        <v>0</v>
      </c>
      <c r="L225" s="338"/>
      <c r="M225" s="338"/>
      <c r="N225" s="338"/>
    </row>
    <row r="226" spans="1:14" ht="11.25" customHeight="1" x14ac:dyDescent="0.2">
      <c r="A226" s="341" t="s">
        <v>1139</v>
      </c>
    </row>
    <row r="227" spans="1:14" x14ac:dyDescent="0.2">
      <c r="A227" s="284"/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</row>
  </sheetData>
  <sheetProtection algorithmName="SHA-512" hashValue="1FPo506KkqDXg32XRzWK0Y5MryVLVgYZmv1he6xxL0XbkXaK3HfCVNfh3+WlhrzZHhVNSn4c4JVzUpMXVEYnDA==" saltValue="URtkx33kBq7rm+DUwEgSwQ==" spinCount="100000" sheet="1"/>
  <mergeCells count="128">
    <mergeCell ref="A227:N227"/>
    <mergeCell ref="D215:E215"/>
    <mergeCell ref="D217:E217"/>
    <mergeCell ref="D219:E219"/>
    <mergeCell ref="D221:E221"/>
    <mergeCell ref="D223:E223"/>
    <mergeCell ref="I225:J225"/>
    <mergeCell ref="D204:E204"/>
    <mergeCell ref="D206:E206"/>
    <mergeCell ref="D208:E208"/>
    <mergeCell ref="D209:E209"/>
    <mergeCell ref="D211:E211"/>
    <mergeCell ref="D213:E213"/>
    <mergeCell ref="D192:E192"/>
    <mergeCell ref="D194:E194"/>
    <mergeCell ref="D196:E196"/>
    <mergeCell ref="D198:E198"/>
    <mergeCell ref="D200:E200"/>
    <mergeCell ref="D202:E202"/>
    <mergeCell ref="D181:E181"/>
    <mergeCell ref="D183:E183"/>
    <mergeCell ref="D185:E185"/>
    <mergeCell ref="D187:E187"/>
    <mergeCell ref="D189:E189"/>
    <mergeCell ref="D190:E190"/>
    <mergeCell ref="D166:E166"/>
    <mergeCell ref="D169:E169"/>
    <mergeCell ref="D171:E171"/>
    <mergeCell ref="D174:E174"/>
    <mergeCell ref="D177:E177"/>
    <mergeCell ref="D179:E179"/>
    <mergeCell ref="D152:E152"/>
    <mergeCell ref="D155:E155"/>
    <mergeCell ref="D158:E158"/>
    <mergeCell ref="D160:E160"/>
    <mergeCell ref="D162:E162"/>
    <mergeCell ref="D164:E164"/>
    <mergeCell ref="D135:E135"/>
    <mergeCell ref="D138:E138"/>
    <mergeCell ref="D140:E140"/>
    <mergeCell ref="D142:E142"/>
    <mergeCell ref="D144:E144"/>
    <mergeCell ref="D146:E146"/>
    <mergeCell ref="D125:E125"/>
    <mergeCell ref="D127:E127"/>
    <mergeCell ref="D128:E128"/>
    <mergeCell ref="D129:E129"/>
    <mergeCell ref="D131:E131"/>
    <mergeCell ref="D133:E133"/>
    <mergeCell ref="D113:E113"/>
    <mergeCell ref="D115:E115"/>
    <mergeCell ref="D117:E117"/>
    <mergeCell ref="D119:E119"/>
    <mergeCell ref="D121:E121"/>
    <mergeCell ref="D123:E123"/>
    <mergeCell ref="D99:E99"/>
    <mergeCell ref="D101:E101"/>
    <mergeCell ref="D103:E103"/>
    <mergeCell ref="D106:E106"/>
    <mergeCell ref="D109:E109"/>
    <mergeCell ref="D111:E111"/>
    <mergeCell ref="D87:E87"/>
    <mergeCell ref="D89:E89"/>
    <mergeCell ref="D91:E91"/>
    <mergeCell ref="D93:E93"/>
    <mergeCell ref="D95:E95"/>
    <mergeCell ref="D97:E97"/>
    <mergeCell ref="D72:E72"/>
    <mergeCell ref="D74:E74"/>
    <mergeCell ref="D76:E76"/>
    <mergeCell ref="D78:E78"/>
    <mergeCell ref="D81:E81"/>
    <mergeCell ref="D84:E84"/>
    <mergeCell ref="D50:E50"/>
    <mergeCell ref="D57:E57"/>
    <mergeCell ref="D64:E64"/>
    <mergeCell ref="D66:E66"/>
    <mergeCell ref="D68:E68"/>
    <mergeCell ref="D70:E70"/>
    <mergeCell ref="D40:E40"/>
    <mergeCell ref="D42:E42"/>
    <mergeCell ref="D44:E44"/>
    <mergeCell ref="D46:E46"/>
    <mergeCell ref="D48:E48"/>
    <mergeCell ref="D49:E49"/>
    <mergeCell ref="D25:E25"/>
    <mergeCell ref="D27:E27"/>
    <mergeCell ref="D29:E29"/>
    <mergeCell ref="D31:E31"/>
    <mergeCell ref="D35:E35"/>
    <mergeCell ref="D38:E38"/>
    <mergeCell ref="D14:E14"/>
    <mergeCell ref="D16:E16"/>
    <mergeCell ref="D17:E17"/>
    <mergeCell ref="D19:E19"/>
    <mergeCell ref="D21:E21"/>
    <mergeCell ref="D23:E23"/>
    <mergeCell ref="D10:E10"/>
    <mergeCell ref="I10:K10"/>
    <mergeCell ref="L10:M10"/>
    <mergeCell ref="D11:E11"/>
    <mergeCell ref="D12:E12"/>
    <mergeCell ref="D13:E13"/>
    <mergeCell ref="A8:C9"/>
    <mergeCell ref="D8:E9"/>
    <mergeCell ref="F8:G9"/>
    <mergeCell ref="H8:H9"/>
    <mergeCell ref="I8:I9"/>
    <mergeCell ref="J8:N9"/>
    <mergeCell ref="A6:C7"/>
    <mergeCell ref="D6:E7"/>
    <mergeCell ref="F6:G7"/>
    <mergeCell ref="H6:H7"/>
    <mergeCell ref="I6:I7"/>
    <mergeCell ref="J6:N7"/>
    <mergeCell ref="A4:C5"/>
    <mergeCell ref="D4:E5"/>
    <mergeCell ref="F4:G5"/>
    <mergeCell ref="H4:H5"/>
    <mergeCell ref="I4:I5"/>
    <mergeCell ref="J4:N5"/>
    <mergeCell ref="A1:N1"/>
    <mergeCell ref="A2:C3"/>
    <mergeCell ref="D2:E3"/>
    <mergeCell ref="F2:G3"/>
    <mergeCell ref="H2:H3"/>
    <mergeCell ref="I2:I3"/>
    <mergeCell ref="J2:N3"/>
  </mergeCells>
  <pageMargins left="0.39374999999999999" right="0.39374999999999999" top="0.59097222222222223" bottom="0.59097222222222223" header="0.51181102362204722" footer="0.51181102362204722"/>
  <pageSetup paperSize="9" scale="86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2C1A-6181-4A5E-B481-EE6DD4180725}">
  <dimension ref="A2:G12"/>
  <sheetViews>
    <sheetView view="pageBreakPreview" zoomScaleNormal="100" zoomScaleSheetLayoutView="100" workbookViewId="0">
      <selection activeCell="E8" sqref="E8"/>
    </sheetView>
  </sheetViews>
  <sheetFormatPr defaultRowHeight="15" x14ac:dyDescent="0.25"/>
  <cols>
    <col min="1" max="2" width="9.140625" style="415"/>
    <col min="3" max="3" width="36.5703125" style="415" customWidth="1"/>
    <col min="4" max="16384" width="9.140625" style="415"/>
  </cols>
  <sheetData>
    <row r="2" spans="1:7" x14ac:dyDescent="0.25">
      <c r="A2" s="408" t="s">
        <v>138</v>
      </c>
      <c r="B2" s="409" t="s">
        <v>91</v>
      </c>
      <c r="C2" s="410" t="s">
        <v>92</v>
      </c>
      <c r="D2" s="411"/>
      <c r="E2" s="412"/>
      <c r="F2" s="413"/>
      <c r="G2" s="414">
        <f>SUMIF(AG3:AG12,"&lt;&gt;NOR",G3:G12)</f>
        <v>0</v>
      </c>
    </row>
    <row r="3" spans="1:7" ht="22.5" x14ac:dyDescent="0.25">
      <c r="A3" s="416">
        <v>110</v>
      </c>
      <c r="B3" s="417" t="s">
        <v>1140</v>
      </c>
      <c r="C3" s="418" t="s">
        <v>1141</v>
      </c>
      <c r="D3" s="419" t="s">
        <v>230</v>
      </c>
      <c r="E3" s="420">
        <v>18</v>
      </c>
      <c r="F3" s="342"/>
      <c r="G3" s="421">
        <f t="shared" ref="G3:G10" si="0">ROUND(E3*F3,2)</f>
        <v>0</v>
      </c>
    </row>
    <row r="4" spans="1:7" x14ac:dyDescent="0.25">
      <c r="A4" s="416">
        <v>111</v>
      </c>
      <c r="B4" s="417" t="s">
        <v>1142</v>
      </c>
      <c r="C4" s="418" t="s">
        <v>1143</v>
      </c>
      <c r="D4" s="419" t="s">
        <v>212</v>
      </c>
      <c r="E4" s="420">
        <v>76</v>
      </c>
      <c r="F4" s="342"/>
      <c r="G4" s="421">
        <f t="shared" si="0"/>
        <v>0</v>
      </c>
    </row>
    <row r="5" spans="1:7" ht="22.5" x14ac:dyDescent="0.25">
      <c r="A5" s="416">
        <v>112</v>
      </c>
      <c r="B5" s="417" t="s">
        <v>1144</v>
      </c>
      <c r="C5" s="418" t="s">
        <v>1145</v>
      </c>
      <c r="D5" s="419" t="s">
        <v>300</v>
      </c>
      <c r="E5" s="420">
        <v>1</v>
      </c>
      <c r="F5" s="342"/>
      <c r="G5" s="421">
        <f t="shared" si="0"/>
        <v>0</v>
      </c>
    </row>
    <row r="6" spans="1:7" ht="22.5" x14ac:dyDescent="0.25">
      <c r="A6" s="416">
        <v>113</v>
      </c>
      <c r="B6" s="417" t="s">
        <v>1146</v>
      </c>
      <c r="C6" s="418" t="s">
        <v>1147</v>
      </c>
      <c r="D6" s="419" t="s">
        <v>212</v>
      </c>
      <c r="E6" s="420">
        <v>76</v>
      </c>
      <c r="F6" s="342"/>
      <c r="G6" s="421">
        <f t="shared" si="0"/>
        <v>0</v>
      </c>
    </row>
    <row r="7" spans="1:7" ht="22.5" x14ac:dyDescent="0.25">
      <c r="A7" s="416">
        <v>114</v>
      </c>
      <c r="B7" s="417" t="s">
        <v>1148</v>
      </c>
      <c r="C7" s="418" t="s">
        <v>1149</v>
      </c>
      <c r="D7" s="419" t="s">
        <v>212</v>
      </c>
      <c r="E7" s="420">
        <v>70</v>
      </c>
      <c r="F7" s="342"/>
      <c r="G7" s="421">
        <f t="shared" si="0"/>
        <v>0</v>
      </c>
    </row>
    <row r="8" spans="1:7" x14ac:dyDescent="0.25">
      <c r="A8" s="416">
        <v>115</v>
      </c>
      <c r="B8" s="417" t="s">
        <v>1150</v>
      </c>
      <c r="C8" s="418" t="s">
        <v>1151</v>
      </c>
      <c r="D8" s="419" t="s">
        <v>300</v>
      </c>
      <c r="E8" s="420">
        <v>18</v>
      </c>
      <c r="F8" s="342"/>
      <c r="G8" s="421">
        <f t="shared" si="0"/>
        <v>0</v>
      </c>
    </row>
    <row r="9" spans="1:7" x14ac:dyDescent="0.25">
      <c r="A9" s="416">
        <v>116</v>
      </c>
      <c r="B9" s="417" t="s">
        <v>1152</v>
      </c>
      <c r="C9" s="418" t="s">
        <v>1153</v>
      </c>
      <c r="D9" s="419" t="s">
        <v>212</v>
      </c>
      <c r="E9" s="420">
        <v>6</v>
      </c>
      <c r="F9" s="342"/>
      <c r="G9" s="421">
        <f t="shared" si="0"/>
        <v>0</v>
      </c>
    </row>
    <row r="10" spans="1:7" ht="22.5" x14ac:dyDescent="0.25">
      <c r="A10" s="422">
        <v>117</v>
      </c>
      <c r="B10" s="423" t="s">
        <v>1154</v>
      </c>
      <c r="C10" s="424" t="s">
        <v>1155</v>
      </c>
      <c r="D10" s="425" t="s">
        <v>1156</v>
      </c>
      <c r="E10" s="426">
        <v>150</v>
      </c>
      <c r="F10" s="343"/>
      <c r="G10" s="427">
        <f t="shared" si="0"/>
        <v>0</v>
      </c>
    </row>
    <row r="11" spans="1:7" x14ac:dyDescent="0.25">
      <c r="A11" s="416">
        <v>122</v>
      </c>
      <c r="B11" s="417" t="s">
        <v>1157</v>
      </c>
      <c r="C11" s="418" t="s">
        <v>1158</v>
      </c>
      <c r="D11" s="419" t="s">
        <v>300</v>
      </c>
      <c r="E11" s="420">
        <v>1</v>
      </c>
      <c r="F11" s="342"/>
      <c r="G11" s="421">
        <f>ROUND(E11*F11,2)</f>
        <v>0</v>
      </c>
    </row>
    <row r="12" spans="1:7" x14ac:dyDescent="0.25">
      <c r="A12" s="416">
        <v>123</v>
      </c>
      <c r="B12" s="417" t="s">
        <v>1159</v>
      </c>
      <c r="C12" s="418" t="s">
        <v>483</v>
      </c>
      <c r="D12" s="419" t="s">
        <v>0</v>
      </c>
      <c r="E12" s="142"/>
      <c r="F12" s="342"/>
      <c r="G12" s="421">
        <f>ROUND(E12*F12,2)</f>
        <v>0</v>
      </c>
    </row>
  </sheetData>
  <sheetProtection algorithmName="SHA-512" hashValue="C3jdaQWerfDpBZYD9QEJbIxt8xn3W0GD2Ak12I/8+n4/ydD+5os00dqGXPwSHUhCLygql0WytPAwFajPLzuXOA==" saltValue="O2Yv1Us3LyjMFgFrT9Uajw==" spinCount="100000" sheet="1" objects="1" scenarios="1"/>
  <pageMargins left="0.7" right="0.7" top="0.78740157499999996" bottom="0.78740157499999996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90CA-199C-4E3E-8037-B836B1DDACD8}">
  <dimension ref="A1:IS65524"/>
  <sheetViews>
    <sheetView showGridLines="0" view="pageBreakPreview" topLeftCell="A55" zoomScale="75" zoomScaleNormal="110" zoomScaleSheetLayoutView="75" workbookViewId="0">
      <selection activeCell="H76" sqref="H76"/>
    </sheetView>
  </sheetViews>
  <sheetFormatPr defaultColWidth="8.85546875" defaultRowHeight="14.25" customHeight="1" x14ac:dyDescent="0.2"/>
  <cols>
    <col min="1" max="1" width="3.140625" style="344" customWidth="1"/>
    <col min="2" max="2" width="4.42578125" style="344" customWidth="1"/>
    <col min="3" max="3" width="8.42578125" style="344" customWidth="1"/>
    <col min="4" max="4" width="34.42578125" style="344" customWidth="1"/>
    <col min="5" max="5" width="52.42578125" style="344" customWidth="1"/>
    <col min="6" max="6" width="13" style="344" customWidth="1"/>
    <col min="7" max="7" width="8.7109375" style="344" customWidth="1"/>
    <col min="8" max="8" width="11.42578125" style="344" customWidth="1"/>
    <col min="9" max="9" width="13.85546875" style="344" customWidth="1"/>
    <col min="10" max="10" width="20" style="344" customWidth="1"/>
    <col min="11" max="11" width="25.42578125" style="344" hidden="1" customWidth="1"/>
    <col min="12" max="12" width="13.85546875" style="344" hidden="1" customWidth="1"/>
    <col min="13" max="13" width="10.42578125" style="344" hidden="1" customWidth="1"/>
    <col min="14" max="14" width="13.85546875" style="344" hidden="1" customWidth="1"/>
    <col min="15" max="15" width="10.42578125" style="344" hidden="1" customWidth="1"/>
    <col min="16" max="16" width="12.7109375" style="344" hidden="1" customWidth="1"/>
    <col min="17" max="17" width="9.28515625" style="344" hidden="1" customWidth="1"/>
    <col min="18" max="18" width="5.28515625" style="344" customWidth="1"/>
    <col min="19" max="19" width="9.28515625" style="344" customWidth="1"/>
    <col min="20" max="20" width="12.7109375" style="344" hidden="1" customWidth="1"/>
    <col min="21" max="21" width="13.85546875" style="344" hidden="1" customWidth="1"/>
    <col min="22" max="42" width="8.85546875" style="344" hidden="1" customWidth="1"/>
    <col min="43" max="45" width="8.85546875" style="344" customWidth="1"/>
    <col min="46" max="56" width="8.85546875" style="344" hidden="1" customWidth="1"/>
    <col min="57" max="253" width="8.85546875" style="344" customWidth="1"/>
    <col min="254" max="256" width="8.85546875" style="349"/>
    <col min="257" max="257" width="3.140625" style="349" customWidth="1"/>
    <col min="258" max="258" width="4.42578125" style="349" customWidth="1"/>
    <col min="259" max="259" width="8.42578125" style="349" customWidth="1"/>
    <col min="260" max="260" width="34.42578125" style="349" customWidth="1"/>
    <col min="261" max="261" width="52.42578125" style="349" customWidth="1"/>
    <col min="262" max="262" width="13" style="349" customWidth="1"/>
    <col min="263" max="263" width="8.7109375" style="349" customWidth="1"/>
    <col min="264" max="264" width="11.42578125" style="349" customWidth="1"/>
    <col min="265" max="265" width="13.85546875" style="349" customWidth="1"/>
    <col min="266" max="266" width="20" style="349" customWidth="1"/>
    <col min="267" max="273" width="0" style="349" hidden="1" customWidth="1"/>
    <col min="274" max="274" width="5.28515625" style="349" customWidth="1"/>
    <col min="275" max="275" width="9.28515625" style="349" customWidth="1"/>
    <col min="276" max="298" width="0" style="349" hidden="1" customWidth="1"/>
    <col min="299" max="301" width="8.85546875" style="349"/>
    <col min="302" max="312" width="0" style="349" hidden="1" customWidth="1"/>
    <col min="313" max="512" width="8.85546875" style="349"/>
    <col min="513" max="513" width="3.140625" style="349" customWidth="1"/>
    <col min="514" max="514" width="4.42578125" style="349" customWidth="1"/>
    <col min="515" max="515" width="8.42578125" style="349" customWidth="1"/>
    <col min="516" max="516" width="34.42578125" style="349" customWidth="1"/>
    <col min="517" max="517" width="52.42578125" style="349" customWidth="1"/>
    <col min="518" max="518" width="13" style="349" customWidth="1"/>
    <col min="519" max="519" width="8.7109375" style="349" customWidth="1"/>
    <col min="520" max="520" width="11.42578125" style="349" customWidth="1"/>
    <col min="521" max="521" width="13.85546875" style="349" customWidth="1"/>
    <col min="522" max="522" width="20" style="349" customWidth="1"/>
    <col min="523" max="529" width="0" style="349" hidden="1" customWidth="1"/>
    <col min="530" max="530" width="5.28515625" style="349" customWidth="1"/>
    <col min="531" max="531" width="9.28515625" style="349" customWidth="1"/>
    <col min="532" max="554" width="0" style="349" hidden="1" customWidth="1"/>
    <col min="555" max="557" width="8.85546875" style="349"/>
    <col min="558" max="568" width="0" style="349" hidden="1" customWidth="1"/>
    <col min="569" max="768" width="8.85546875" style="349"/>
    <col min="769" max="769" width="3.140625" style="349" customWidth="1"/>
    <col min="770" max="770" width="4.42578125" style="349" customWidth="1"/>
    <col min="771" max="771" width="8.42578125" style="349" customWidth="1"/>
    <col min="772" max="772" width="34.42578125" style="349" customWidth="1"/>
    <col min="773" max="773" width="52.42578125" style="349" customWidth="1"/>
    <col min="774" max="774" width="13" style="349" customWidth="1"/>
    <col min="775" max="775" width="8.7109375" style="349" customWidth="1"/>
    <col min="776" max="776" width="11.42578125" style="349" customWidth="1"/>
    <col min="777" max="777" width="13.85546875" style="349" customWidth="1"/>
    <col min="778" max="778" width="20" style="349" customWidth="1"/>
    <col min="779" max="785" width="0" style="349" hidden="1" customWidth="1"/>
    <col min="786" max="786" width="5.28515625" style="349" customWidth="1"/>
    <col min="787" max="787" width="9.28515625" style="349" customWidth="1"/>
    <col min="788" max="810" width="0" style="349" hidden="1" customWidth="1"/>
    <col min="811" max="813" width="8.85546875" style="349"/>
    <col min="814" max="824" width="0" style="349" hidden="1" customWidth="1"/>
    <col min="825" max="1024" width="8.85546875" style="349"/>
    <col min="1025" max="1025" width="3.140625" style="349" customWidth="1"/>
    <col min="1026" max="1026" width="4.42578125" style="349" customWidth="1"/>
    <col min="1027" max="1027" width="8.42578125" style="349" customWidth="1"/>
    <col min="1028" max="1028" width="34.42578125" style="349" customWidth="1"/>
    <col min="1029" max="1029" width="52.42578125" style="349" customWidth="1"/>
    <col min="1030" max="1030" width="13" style="349" customWidth="1"/>
    <col min="1031" max="1031" width="8.7109375" style="349" customWidth="1"/>
    <col min="1032" max="1032" width="11.42578125" style="349" customWidth="1"/>
    <col min="1033" max="1033" width="13.85546875" style="349" customWidth="1"/>
    <col min="1034" max="1034" width="20" style="349" customWidth="1"/>
    <col min="1035" max="1041" width="0" style="349" hidden="1" customWidth="1"/>
    <col min="1042" max="1042" width="5.28515625" style="349" customWidth="1"/>
    <col min="1043" max="1043" width="9.28515625" style="349" customWidth="1"/>
    <col min="1044" max="1066" width="0" style="349" hidden="1" customWidth="1"/>
    <col min="1067" max="1069" width="8.85546875" style="349"/>
    <col min="1070" max="1080" width="0" style="349" hidden="1" customWidth="1"/>
    <col min="1081" max="1280" width="8.85546875" style="349"/>
    <col min="1281" max="1281" width="3.140625" style="349" customWidth="1"/>
    <col min="1282" max="1282" width="4.42578125" style="349" customWidth="1"/>
    <col min="1283" max="1283" width="8.42578125" style="349" customWidth="1"/>
    <col min="1284" max="1284" width="34.42578125" style="349" customWidth="1"/>
    <col min="1285" max="1285" width="52.42578125" style="349" customWidth="1"/>
    <col min="1286" max="1286" width="13" style="349" customWidth="1"/>
    <col min="1287" max="1287" width="8.7109375" style="349" customWidth="1"/>
    <col min="1288" max="1288" width="11.42578125" style="349" customWidth="1"/>
    <col min="1289" max="1289" width="13.85546875" style="349" customWidth="1"/>
    <col min="1290" max="1290" width="20" style="349" customWidth="1"/>
    <col min="1291" max="1297" width="0" style="349" hidden="1" customWidth="1"/>
    <col min="1298" max="1298" width="5.28515625" style="349" customWidth="1"/>
    <col min="1299" max="1299" width="9.28515625" style="349" customWidth="1"/>
    <col min="1300" max="1322" width="0" style="349" hidden="1" customWidth="1"/>
    <col min="1323" max="1325" width="8.85546875" style="349"/>
    <col min="1326" max="1336" width="0" style="349" hidden="1" customWidth="1"/>
    <col min="1337" max="1536" width="8.85546875" style="349"/>
    <col min="1537" max="1537" width="3.140625" style="349" customWidth="1"/>
    <col min="1538" max="1538" width="4.42578125" style="349" customWidth="1"/>
    <col min="1539" max="1539" width="8.42578125" style="349" customWidth="1"/>
    <col min="1540" max="1540" width="34.42578125" style="349" customWidth="1"/>
    <col min="1541" max="1541" width="52.42578125" style="349" customWidth="1"/>
    <col min="1542" max="1542" width="13" style="349" customWidth="1"/>
    <col min="1543" max="1543" width="8.7109375" style="349" customWidth="1"/>
    <col min="1544" max="1544" width="11.42578125" style="349" customWidth="1"/>
    <col min="1545" max="1545" width="13.85546875" style="349" customWidth="1"/>
    <col min="1546" max="1546" width="20" style="349" customWidth="1"/>
    <col min="1547" max="1553" width="0" style="349" hidden="1" customWidth="1"/>
    <col min="1554" max="1554" width="5.28515625" style="349" customWidth="1"/>
    <col min="1555" max="1555" width="9.28515625" style="349" customWidth="1"/>
    <col min="1556" max="1578" width="0" style="349" hidden="1" customWidth="1"/>
    <col min="1579" max="1581" width="8.85546875" style="349"/>
    <col min="1582" max="1592" width="0" style="349" hidden="1" customWidth="1"/>
    <col min="1593" max="1792" width="8.85546875" style="349"/>
    <col min="1793" max="1793" width="3.140625" style="349" customWidth="1"/>
    <col min="1794" max="1794" width="4.42578125" style="349" customWidth="1"/>
    <col min="1795" max="1795" width="8.42578125" style="349" customWidth="1"/>
    <col min="1796" max="1796" width="34.42578125" style="349" customWidth="1"/>
    <col min="1797" max="1797" width="52.42578125" style="349" customWidth="1"/>
    <col min="1798" max="1798" width="13" style="349" customWidth="1"/>
    <col min="1799" max="1799" width="8.7109375" style="349" customWidth="1"/>
    <col min="1800" max="1800" width="11.42578125" style="349" customWidth="1"/>
    <col min="1801" max="1801" width="13.85546875" style="349" customWidth="1"/>
    <col min="1802" max="1802" width="20" style="349" customWidth="1"/>
    <col min="1803" max="1809" width="0" style="349" hidden="1" customWidth="1"/>
    <col min="1810" max="1810" width="5.28515625" style="349" customWidth="1"/>
    <col min="1811" max="1811" width="9.28515625" style="349" customWidth="1"/>
    <col min="1812" max="1834" width="0" style="349" hidden="1" customWidth="1"/>
    <col min="1835" max="1837" width="8.85546875" style="349"/>
    <col min="1838" max="1848" width="0" style="349" hidden="1" customWidth="1"/>
    <col min="1849" max="2048" width="8.85546875" style="349"/>
    <col min="2049" max="2049" width="3.140625" style="349" customWidth="1"/>
    <col min="2050" max="2050" width="4.42578125" style="349" customWidth="1"/>
    <col min="2051" max="2051" width="8.42578125" style="349" customWidth="1"/>
    <col min="2052" max="2052" width="34.42578125" style="349" customWidth="1"/>
    <col min="2053" max="2053" width="52.42578125" style="349" customWidth="1"/>
    <col min="2054" max="2054" width="13" style="349" customWidth="1"/>
    <col min="2055" max="2055" width="8.7109375" style="349" customWidth="1"/>
    <col min="2056" max="2056" width="11.42578125" style="349" customWidth="1"/>
    <col min="2057" max="2057" width="13.85546875" style="349" customWidth="1"/>
    <col min="2058" max="2058" width="20" style="349" customWidth="1"/>
    <col min="2059" max="2065" width="0" style="349" hidden="1" customWidth="1"/>
    <col min="2066" max="2066" width="5.28515625" style="349" customWidth="1"/>
    <col min="2067" max="2067" width="9.28515625" style="349" customWidth="1"/>
    <col min="2068" max="2090" width="0" style="349" hidden="1" customWidth="1"/>
    <col min="2091" max="2093" width="8.85546875" style="349"/>
    <col min="2094" max="2104" width="0" style="349" hidden="1" customWidth="1"/>
    <col min="2105" max="2304" width="8.85546875" style="349"/>
    <col min="2305" max="2305" width="3.140625" style="349" customWidth="1"/>
    <col min="2306" max="2306" width="4.42578125" style="349" customWidth="1"/>
    <col min="2307" max="2307" width="8.42578125" style="349" customWidth="1"/>
    <col min="2308" max="2308" width="34.42578125" style="349" customWidth="1"/>
    <col min="2309" max="2309" width="52.42578125" style="349" customWidth="1"/>
    <col min="2310" max="2310" width="13" style="349" customWidth="1"/>
    <col min="2311" max="2311" width="8.7109375" style="349" customWidth="1"/>
    <col min="2312" max="2312" width="11.42578125" style="349" customWidth="1"/>
    <col min="2313" max="2313" width="13.85546875" style="349" customWidth="1"/>
    <col min="2314" max="2314" width="20" style="349" customWidth="1"/>
    <col min="2315" max="2321" width="0" style="349" hidden="1" customWidth="1"/>
    <col min="2322" max="2322" width="5.28515625" style="349" customWidth="1"/>
    <col min="2323" max="2323" width="9.28515625" style="349" customWidth="1"/>
    <col min="2324" max="2346" width="0" style="349" hidden="1" customWidth="1"/>
    <col min="2347" max="2349" width="8.85546875" style="349"/>
    <col min="2350" max="2360" width="0" style="349" hidden="1" customWidth="1"/>
    <col min="2361" max="2560" width="8.85546875" style="349"/>
    <col min="2561" max="2561" width="3.140625" style="349" customWidth="1"/>
    <col min="2562" max="2562" width="4.42578125" style="349" customWidth="1"/>
    <col min="2563" max="2563" width="8.42578125" style="349" customWidth="1"/>
    <col min="2564" max="2564" width="34.42578125" style="349" customWidth="1"/>
    <col min="2565" max="2565" width="52.42578125" style="349" customWidth="1"/>
    <col min="2566" max="2566" width="13" style="349" customWidth="1"/>
    <col min="2567" max="2567" width="8.7109375" style="349" customWidth="1"/>
    <col min="2568" max="2568" width="11.42578125" style="349" customWidth="1"/>
    <col min="2569" max="2569" width="13.85546875" style="349" customWidth="1"/>
    <col min="2570" max="2570" width="20" style="349" customWidth="1"/>
    <col min="2571" max="2577" width="0" style="349" hidden="1" customWidth="1"/>
    <col min="2578" max="2578" width="5.28515625" style="349" customWidth="1"/>
    <col min="2579" max="2579" width="9.28515625" style="349" customWidth="1"/>
    <col min="2580" max="2602" width="0" style="349" hidden="1" customWidth="1"/>
    <col min="2603" max="2605" width="8.85546875" style="349"/>
    <col min="2606" max="2616" width="0" style="349" hidden="1" customWidth="1"/>
    <col min="2617" max="2816" width="8.85546875" style="349"/>
    <col min="2817" max="2817" width="3.140625" style="349" customWidth="1"/>
    <col min="2818" max="2818" width="4.42578125" style="349" customWidth="1"/>
    <col min="2819" max="2819" width="8.42578125" style="349" customWidth="1"/>
    <col min="2820" max="2820" width="34.42578125" style="349" customWidth="1"/>
    <col min="2821" max="2821" width="52.42578125" style="349" customWidth="1"/>
    <col min="2822" max="2822" width="13" style="349" customWidth="1"/>
    <col min="2823" max="2823" width="8.7109375" style="349" customWidth="1"/>
    <col min="2824" max="2824" width="11.42578125" style="349" customWidth="1"/>
    <col min="2825" max="2825" width="13.85546875" style="349" customWidth="1"/>
    <col min="2826" max="2826" width="20" style="349" customWidth="1"/>
    <col min="2827" max="2833" width="0" style="349" hidden="1" customWidth="1"/>
    <col min="2834" max="2834" width="5.28515625" style="349" customWidth="1"/>
    <col min="2835" max="2835" width="9.28515625" style="349" customWidth="1"/>
    <col min="2836" max="2858" width="0" style="349" hidden="1" customWidth="1"/>
    <col min="2859" max="2861" width="8.85546875" style="349"/>
    <col min="2862" max="2872" width="0" style="349" hidden="1" customWidth="1"/>
    <col min="2873" max="3072" width="8.85546875" style="349"/>
    <col min="3073" max="3073" width="3.140625" style="349" customWidth="1"/>
    <col min="3074" max="3074" width="4.42578125" style="349" customWidth="1"/>
    <col min="3075" max="3075" width="8.42578125" style="349" customWidth="1"/>
    <col min="3076" max="3076" width="34.42578125" style="349" customWidth="1"/>
    <col min="3077" max="3077" width="52.42578125" style="349" customWidth="1"/>
    <col min="3078" max="3078" width="13" style="349" customWidth="1"/>
    <col min="3079" max="3079" width="8.7109375" style="349" customWidth="1"/>
    <col min="3080" max="3080" width="11.42578125" style="349" customWidth="1"/>
    <col min="3081" max="3081" width="13.85546875" style="349" customWidth="1"/>
    <col min="3082" max="3082" width="20" style="349" customWidth="1"/>
    <col min="3083" max="3089" width="0" style="349" hidden="1" customWidth="1"/>
    <col min="3090" max="3090" width="5.28515625" style="349" customWidth="1"/>
    <col min="3091" max="3091" width="9.28515625" style="349" customWidth="1"/>
    <col min="3092" max="3114" width="0" style="349" hidden="1" customWidth="1"/>
    <col min="3115" max="3117" width="8.85546875" style="349"/>
    <col min="3118" max="3128" width="0" style="349" hidden="1" customWidth="1"/>
    <col min="3129" max="3328" width="8.85546875" style="349"/>
    <col min="3329" max="3329" width="3.140625" style="349" customWidth="1"/>
    <col min="3330" max="3330" width="4.42578125" style="349" customWidth="1"/>
    <col min="3331" max="3331" width="8.42578125" style="349" customWidth="1"/>
    <col min="3332" max="3332" width="34.42578125" style="349" customWidth="1"/>
    <col min="3333" max="3333" width="52.42578125" style="349" customWidth="1"/>
    <col min="3334" max="3334" width="13" style="349" customWidth="1"/>
    <col min="3335" max="3335" width="8.7109375" style="349" customWidth="1"/>
    <col min="3336" max="3336" width="11.42578125" style="349" customWidth="1"/>
    <col min="3337" max="3337" width="13.85546875" style="349" customWidth="1"/>
    <col min="3338" max="3338" width="20" style="349" customWidth="1"/>
    <col min="3339" max="3345" width="0" style="349" hidden="1" customWidth="1"/>
    <col min="3346" max="3346" width="5.28515625" style="349" customWidth="1"/>
    <col min="3347" max="3347" width="9.28515625" style="349" customWidth="1"/>
    <col min="3348" max="3370" width="0" style="349" hidden="1" customWidth="1"/>
    <col min="3371" max="3373" width="8.85546875" style="349"/>
    <col min="3374" max="3384" width="0" style="349" hidden="1" customWidth="1"/>
    <col min="3385" max="3584" width="8.85546875" style="349"/>
    <col min="3585" max="3585" width="3.140625" style="349" customWidth="1"/>
    <col min="3586" max="3586" width="4.42578125" style="349" customWidth="1"/>
    <col min="3587" max="3587" width="8.42578125" style="349" customWidth="1"/>
    <col min="3588" max="3588" width="34.42578125" style="349" customWidth="1"/>
    <col min="3589" max="3589" width="52.42578125" style="349" customWidth="1"/>
    <col min="3590" max="3590" width="13" style="349" customWidth="1"/>
    <col min="3591" max="3591" width="8.7109375" style="349" customWidth="1"/>
    <col min="3592" max="3592" width="11.42578125" style="349" customWidth="1"/>
    <col min="3593" max="3593" width="13.85546875" style="349" customWidth="1"/>
    <col min="3594" max="3594" width="20" style="349" customWidth="1"/>
    <col min="3595" max="3601" width="0" style="349" hidden="1" customWidth="1"/>
    <col min="3602" max="3602" width="5.28515625" style="349" customWidth="1"/>
    <col min="3603" max="3603" width="9.28515625" style="349" customWidth="1"/>
    <col min="3604" max="3626" width="0" style="349" hidden="1" customWidth="1"/>
    <col min="3627" max="3629" width="8.85546875" style="349"/>
    <col min="3630" max="3640" width="0" style="349" hidden="1" customWidth="1"/>
    <col min="3641" max="3840" width="8.85546875" style="349"/>
    <col min="3841" max="3841" width="3.140625" style="349" customWidth="1"/>
    <col min="3842" max="3842" width="4.42578125" style="349" customWidth="1"/>
    <col min="3843" max="3843" width="8.42578125" style="349" customWidth="1"/>
    <col min="3844" max="3844" width="34.42578125" style="349" customWidth="1"/>
    <col min="3845" max="3845" width="52.42578125" style="349" customWidth="1"/>
    <col min="3846" max="3846" width="13" style="349" customWidth="1"/>
    <col min="3847" max="3847" width="8.7109375" style="349" customWidth="1"/>
    <col min="3848" max="3848" width="11.42578125" style="349" customWidth="1"/>
    <col min="3849" max="3849" width="13.85546875" style="349" customWidth="1"/>
    <col min="3850" max="3850" width="20" style="349" customWidth="1"/>
    <col min="3851" max="3857" width="0" style="349" hidden="1" customWidth="1"/>
    <col min="3858" max="3858" width="5.28515625" style="349" customWidth="1"/>
    <col min="3859" max="3859" width="9.28515625" style="349" customWidth="1"/>
    <col min="3860" max="3882" width="0" style="349" hidden="1" customWidth="1"/>
    <col min="3883" max="3885" width="8.85546875" style="349"/>
    <col min="3886" max="3896" width="0" style="349" hidden="1" customWidth="1"/>
    <col min="3897" max="4096" width="8.85546875" style="349"/>
    <col min="4097" max="4097" width="3.140625" style="349" customWidth="1"/>
    <col min="4098" max="4098" width="4.42578125" style="349" customWidth="1"/>
    <col min="4099" max="4099" width="8.42578125" style="349" customWidth="1"/>
    <col min="4100" max="4100" width="34.42578125" style="349" customWidth="1"/>
    <col min="4101" max="4101" width="52.42578125" style="349" customWidth="1"/>
    <col min="4102" max="4102" width="13" style="349" customWidth="1"/>
    <col min="4103" max="4103" width="8.7109375" style="349" customWidth="1"/>
    <col min="4104" max="4104" width="11.42578125" style="349" customWidth="1"/>
    <col min="4105" max="4105" width="13.85546875" style="349" customWidth="1"/>
    <col min="4106" max="4106" width="20" style="349" customWidth="1"/>
    <col min="4107" max="4113" width="0" style="349" hidden="1" customWidth="1"/>
    <col min="4114" max="4114" width="5.28515625" style="349" customWidth="1"/>
    <col min="4115" max="4115" width="9.28515625" style="349" customWidth="1"/>
    <col min="4116" max="4138" width="0" style="349" hidden="1" customWidth="1"/>
    <col min="4139" max="4141" width="8.85546875" style="349"/>
    <col min="4142" max="4152" width="0" style="349" hidden="1" customWidth="1"/>
    <col min="4153" max="4352" width="8.85546875" style="349"/>
    <col min="4353" max="4353" width="3.140625" style="349" customWidth="1"/>
    <col min="4354" max="4354" width="4.42578125" style="349" customWidth="1"/>
    <col min="4355" max="4355" width="8.42578125" style="349" customWidth="1"/>
    <col min="4356" max="4356" width="34.42578125" style="349" customWidth="1"/>
    <col min="4357" max="4357" width="52.42578125" style="349" customWidth="1"/>
    <col min="4358" max="4358" width="13" style="349" customWidth="1"/>
    <col min="4359" max="4359" width="8.7109375" style="349" customWidth="1"/>
    <col min="4360" max="4360" width="11.42578125" style="349" customWidth="1"/>
    <col min="4361" max="4361" width="13.85546875" style="349" customWidth="1"/>
    <col min="4362" max="4362" width="20" style="349" customWidth="1"/>
    <col min="4363" max="4369" width="0" style="349" hidden="1" customWidth="1"/>
    <col min="4370" max="4370" width="5.28515625" style="349" customWidth="1"/>
    <col min="4371" max="4371" width="9.28515625" style="349" customWidth="1"/>
    <col min="4372" max="4394" width="0" style="349" hidden="1" customWidth="1"/>
    <col min="4395" max="4397" width="8.85546875" style="349"/>
    <col min="4398" max="4408" width="0" style="349" hidden="1" customWidth="1"/>
    <col min="4409" max="4608" width="8.85546875" style="349"/>
    <col min="4609" max="4609" width="3.140625" style="349" customWidth="1"/>
    <col min="4610" max="4610" width="4.42578125" style="349" customWidth="1"/>
    <col min="4611" max="4611" width="8.42578125" style="349" customWidth="1"/>
    <col min="4612" max="4612" width="34.42578125" style="349" customWidth="1"/>
    <col min="4613" max="4613" width="52.42578125" style="349" customWidth="1"/>
    <col min="4614" max="4614" width="13" style="349" customWidth="1"/>
    <col min="4615" max="4615" width="8.7109375" style="349" customWidth="1"/>
    <col min="4616" max="4616" width="11.42578125" style="349" customWidth="1"/>
    <col min="4617" max="4617" width="13.85546875" style="349" customWidth="1"/>
    <col min="4618" max="4618" width="20" style="349" customWidth="1"/>
    <col min="4619" max="4625" width="0" style="349" hidden="1" customWidth="1"/>
    <col min="4626" max="4626" width="5.28515625" style="349" customWidth="1"/>
    <col min="4627" max="4627" width="9.28515625" style="349" customWidth="1"/>
    <col min="4628" max="4650" width="0" style="349" hidden="1" customWidth="1"/>
    <col min="4651" max="4653" width="8.85546875" style="349"/>
    <col min="4654" max="4664" width="0" style="349" hidden="1" customWidth="1"/>
    <col min="4665" max="4864" width="8.85546875" style="349"/>
    <col min="4865" max="4865" width="3.140625" style="349" customWidth="1"/>
    <col min="4866" max="4866" width="4.42578125" style="349" customWidth="1"/>
    <col min="4867" max="4867" width="8.42578125" style="349" customWidth="1"/>
    <col min="4868" max="4868" width="34.42578125" style="349" customWidth="1"/>
    <col min="4869" max="4869" width="52.42578125" style="349" customWidth="1"/>
    <col min="4870" max="4870" width="13" style="349" customWidth="1"/>
    <col min="4871" max="4871" width="8.7109375" style="349" customWidth="1"/>
    <col min="4872" max="4872" width="11.42578125" style="349" customWidth="1"/>
    <col min="4873" max="4873" width="13.85546875" style="349" customWidth="1"/>
    <col min="4874" max="4874" width="20" style="349" customWidth="1"/>
    <col min="4875" max="4881" width="0" style="349" hidden="1" customWidth="1"/>
    <col min="4882" max="4882" width="5.28515625" style="349" customWidth="1"/>
    <col min="4883" max="4883" width="9.28515625" style="349" customWidth="1"/>
    <col min="4884" max="4906" width="0" style="349" hidden="1" customWidth="1"/>
    <col min="4907" max="4909" width="8.85546875" style="349"/>
    <col min="4910" max="4920" width="0" style="349" hidden="1" customWidth="1"/>
    <col min="4921" max="5120" width="8.85546875" style="349"/>
    <col min="5121" max="5121" width="3.140625" style="349" customWidth="1"/>
    <col min="5122" max="5122" width="4.42578125" style="349" customWidth="1"/>
    <col min="5123" max="5123" width="8.42578125" style="349" customWidth="1"/>
    <col min="5124" max="5124" width="34.42578125" style="349" customWidth="1"/>
    <col min="5125" max="5125" width="52.42578125" style="349" customWidth="1"/>
    <col min="5126" max="5126" width="13" style="349" customWidth="1"/>
    <col min="5127" max="5127" width="8.7109375" style="349" customWidth="1"/>
    <col min="5128" max="5128" width="11.42578125" style="349" customWidth="1"/>
    <col min="5129" max="5129" width="13.85546875" style="349" customWidth="1"/>
    <col min="5130" max="5130" width="20" style="349" customWidth="1"/>
    <col min="5131" max="5137" width="0" style="349" hidden="1" customWidth="1"/>
    <col min="5138" max="5138" width="5.28515625" style="349" customWidth="1"/>
    <col min="5139" max="5139" width="9.28515625" style="349" customWidth="1"/>
    <col min="5140" max="5162" width="0" style="349" hidden="1" customWidth="1"/>
    <col min="5163" max="5165" width="8.85546875" style="349"/>
    <col min="5166" max="5176" width="0" style="349" hidden="1" customWidth="1"/>
    <col min="5177" max="5376" width="8.85546875" style="349"/>
    <col min="5377" max="5377" width="3.140625" style="349" customWidth="1"/>
    <col min="5378" max="5378" width="4.42578125" style="349" customWidth="1"/>
    <col min="5379" max="5379" width="8.42578125" style="349" customWidth="1"/>
    <col min="5380" max="5380" width="34.42578125" style="349" customWidth="1"/>
    <col min="5381" max="5381" width="52.42578125" style="349" customWidth="1"/>
    <col min="5382" max="5382" width="13" style="349" customWidth="1"/>
    <col min="5383" max="5383" width="8.7109375" style="349" customWidth="1"/>
    <col min="5384" max="5384" width="11.42578125" style="349" customWidth="1"/>
    <col min="5385" max="5385" width="13.85546875" style="349" customWidth="1"/>
    <col min="5386" max="5386" width="20" style="349" customWidth="1"/>
    <col min="5387" max="5393" width="0" style="349" hidden="1" customWidth="1"/>
    <col min="5394" max="5394" width="5.28515625" style="349" customWidth="1"/>
    <col min="5395" max="5395" width="9.28515625" style="349" customWidth="1"/>
    <col min="5396" max="5418" width="0" style="349" hidden="1" customWidth="1"/>
    <col min="5419" max="5421" width="8.85546875" style="349"/>
    <col min="5422" max="5432" width="0" style="349" hidden="1" customWidth="1"/>
    <col min="5433" max="5632" width="8.85546875" style="349"/>
    <col min="5633" max="5633" width="3.140625" style="349" customWidth="1"/>
    <col min="5634" max="5634" width="4.42578125" style="349" customWidth="1"/>
    <col min="5635" max="5635" width="8.42578125" style="349" customWidth="1"/>
    <col min="5636" max="5636" width="34.42578125" style="349" customWidth="1"/>
    <col min="5637" max="5637" width="52.42578125" style="349" customWidth="1"/>
    <col min="5638" max="5638" width="13" style="349" customWidth="1"/>
    <col min="5639" max="5639" width="8.7109375" style="349" customWidth="1"/>
    <col min="5640" max="5640" width="11.42578125" style="349" customWidth="1"/>
    <col min="5641" max="5641" width="13.85546875" style="349" customWidth="1"/>
    <col min="5642" max="5642" width="20" style="349" customWidth="1"/>
    <col min="5643" max="5649" width="0" style="349" hidden="1" customWidth="1"/>
    <col min="5650" max="5650" width="5.28515625" style="349" customWidth="1"/>
    <col min="5651" max="5651" width="9.28515625" style="349" customWidth="1"/>
    <col min="5652" max="5674" width="0" style="349" hidden="1" customWidth="1"/>
    <col min="5675" max="5677" width="8.85546875" style="349"/>
    <col min="5678" max="5688" width="0" style="349" hidden="1" customWidth="1"/>
    <col min="5689" max="5888" width="8.85546875" style="349"/>
    <col min="5889" max="5889" width="3.140625" style="349" customWidth="1"/>
    <col min="5890" max="5890" width="4.42578125" style="349" customWidth="1"/>
    <col min="5891" max="5891" width="8.42578125" style="349" customWidth="1"/>
    <col min="5892" max="5892" width="34.42578125" style="349" customWidth="1"/>
    <col min="5893" max="5893" width="52.42578125" style="349" customWidth="1"/>
    <col min="5894" max="5894" width="13" style="349" customWidth="1"/>
    <col min="5895" max="5895" width="8.7109375" style="349" customWidth="1"/>
    <col min="5896" max="5896" width="11.42578125" style="349" customWidth="1"/>
    <col min="5897" max="5897" width="13.85546875" style="349" customWidth="1"/>
    <col min="5898" max="5898" width="20" style="349" customWidth="1"/>
    <col min="5899" max="5905" width="0" style="349" hidden="1" customWidth="1"/>
    <col min="5906" max="5906" width="5.28515625" style="349" customWidth="1"/>
    <col min="5907" max="5907" width="9.28515625" style="349" customWidth="1"/>
    <col min="5908" max="5930" width="0" style="349" hidden="1" customWidth="1"/>
    <col min="5931" max="5933" width="8.85546875" style="349"/>
    <col min="5934" max="5944" width="0" style="349" hidden="1" customWidth="1"/>
    <col min="5945" max="6144" width="8.85546875" style="349"/>
    <col min="6145" max="6145" width="3.140625" style="349" customWidth="1"/>
    <col min="6146" max="6146" width="4.42578125" style="349" customWidth="1"/>
    <col min="6147" max="6147" width="8.42578125" style="349" customWidth="1"/>
    <col min="6148" max="6148" width="34.42578125" style="349" customWidth="1"/>
    <col min="6149" max="6149" width="52.42578125" style="349" customWidth="1"/>
    <col min="6150" max="6150" width="13" style="349" customWidth="1"/>
    <col min="6151" max="6151" width="8.7109375" style="349" customWidth="1"/>
    <col min="6152" max="6152" width="11.42578125" style="349" customWidth="1"/>
    <col min="6153" max="6153" width="13.85546875" style="349" customWidth="1"/>
    <col min="6154" max="6154" width="20" style="349" customWidth="1"/>
    <col min="6155" max="6161" width="0" style="349" hidden="1" customWidth="1"/>
    <col min="6162" max="6162" width="5.28515625" style="349" customWidth="1"/>
    <col min="6163" max="6163" width="9.28515625" style="349" customWidth="1"/>
    <col min="6164" max="6186" width="0" style="349" hidden="1" customWidth="1"/>
    <col min="6187" max="6189" width="8.85546875" style="349"/>
    <col min="6190" max="6200" width="0" style="349" hidden="1" customWidth="1"/>
    <col min="6201" max="6400" width="8.85546875" style="349"/>
    <col min="6401" max="6401" width="3.140625" style="349" customWidth="1"/>
    <col min="6402" max="6402" width="4.42578125" style="349" customWidth="1"/>
    <col min="6403" max="6403" width="8.42578125" style="349" customWidth="1"/>
    <col min="6404" max="6404" width="34.42578125" style="349" customWidth="1"/>
    <col min="6405" max="6405" width="52.42578125" style="349" customWidth="1"/>
    <col min="6406" max="6406" width="13" style="349" customWidth="1"/>
    <col min="6407" max="6407" width="8.7109375" style="349" customWidth="1"/>
    <col min="6408" max="6408" width="11.42578125" style="349" customWidth="1"/>
    <col min="6409" max="6409" width="13.85546875" style="349" customWidth="1"/>
    <col min="6410" max="6410" width="20" style="349" customWidth="1"/>
    <col min="6411" max="6417" width="0" style="349" hidden="1" customWidth="1"/>
    <col min="6418" max="6418" width="5.28515625" style="349" customWidth="1"/>
    <col min="6419" max="6419" width="9.28515625" style="349" customWidth="1"/>
    <col min="6420" max="6442" width="0" style="349" hidden="1" customWidth="1"/>
    <col min="6443" max="6445" width="8.85546875" style="349"/>
    <col min="6446" max="6456" width="0" style="349" hidden="1" customWidth="1"/>
    <col min="6457" max="6656" width="8.85546875" style="349"/>
    <col min="6657" max="6657" width="3.140625" style="349" customWidth="1"/>
    <col min="6658" max="6658" width="4.42578125" style="349" customWidth="1"/>
    <col min="6659" max="6659" width="8.42578125" style="349" customWidth="1"/>
    <col min="6660" max="6660" width="34.42578125" style="349" customWidth="1"/>
    <col min="6661" max="6661" width="52.42578125" style="349" customWidth="1"/>
    <col min="6662" max="6662" width="13" style="349" customWidth="1"/>
    <col min="6663" max="6663" width="8.7109375" style="349" customWidth="1"/>
    <col min="6664" max="6664" width="11.42578125" style="349" customWidth="1"/>
    <col min="6665" max="6665" width="13.85546875" style="349" customWidth="1"/>
    <col min="6666" max="6666" width="20" style="349" customWidth="1"/>
    <col min="6667" max="6673" width="0" style="349" hidden="1" customWidth="1"/>
    <col min="6674" max="6674" width="5.28515625" style="349" customWidth="1"/>
    <col min="6675" max="6675" width="9.28515625" style="349" customWidth="1"/>
    <col min="6676" max="6698" width="0" style="349" hidden="1" customWidth="1"/>
    <col min="6699" max="6701" width="8.85546875" style="349"/>
    <col min="6702" max="6712" width="0" style="349" hidden="1" customWidth="1"/>
    <col min="6713" max="6912" width="8.85546875" style="349"/>
    <col min="6913" max="6913" width="3.140625" style="349" customWidth="1"/>
    <col min="6914" max="6914" width="4.42578125" style="349" customWidth="1"/>
    <col min="6915" max="6915" width="8.42578125" style="349" customWidth="1"/>
    <col min="6916" max="6916" width="34.42578125" style="349" customWidth="1"/>
    <col min="6917" max="6917" width="52.42578125" style="349" customWidth="1"/>
    <col min="6918" max="6918" width="13" style="349" customWidth="1"/>
    <col min="6919" max="6919" width="8.7109375" style="349" customWidth="1"/>
    <col min="6920" max="6920" width="11.42578125" style="349" customWidth="1"/>
    <col min="6921" max="6921" width="13.85546875" style="349" customWidth="1"/>
    <col min="6922" max="6922" width="20" style="349" customWidth="1"/>
    <col min="6923" max="6929" width="0" style="349" hidden="1" customWidth="1"/>
    <col min="6930" max="6930" width="5.28515625" style="349" customWidth="1"/>
    <col min="6931" max="6931" width="9.28515625" style="349" customWidth="1"/>
    <col min="6932" max="6954" width="0" style="349" hidden="1" customWidth="1"/>
    <col min="6955" max="6957" width="8.85546875" style="349"/>
    <col min="6958" max="6968" width="0" style="349" hidden="1" customWidth="1"/>
    <col min="6969" max="7168" width="8.85546875" style="349"/>
    <col min="7169" max="7169" width="3.140625" style="349" customWidth="1"/>
    <col min="7170" max="7170" width="4.42578125" style="349" customWidth="1"/>
    <col min="7171" max="7171" width="8.42578125" style="349" customWidth="1"/>
    <col min="7172" max="7172" width="34.42578125" style="349" customWidth="1"/>
    <col min="7173" max="7173" width="52.42578125" style="349" customWidth="1"/>
    <col min="7174" max="7174" width="13" style="349" customWidth="1"/>
    <col min="7175" max="7175" width="8.7109375" style="349" customWidth="1"/>
    <col min="7176" max="7176" width="11.42578125" style="349" customWidth="1"/>
    <col min="7177" max="7177" width="13.85546875" style="349" customWidth="1"/>
    <col min="7178" max="7178" width="20" style="349" customWidth="1"/>
    <col min="7179" max="7185" width="0" style="349" hidden="1" customWidth="1"/>
    <col min="7186" max="7186" width="5.28515625" style="349" customWidth="1"/>
    <col min="7187" max="7187" width="9.28515625" style="349" customWidth="1"/>
    <col min="7188" max="7210" width="0" style="349" hidden="1" customWidth="1"/>
    <col min="7211" max="7213" width="8.85546875" style="349"/>
    <col min="7214" max="7224" width="0" style="349" hidden="1" customWidth="1"/>
    <col min="7225" max="7424" width="8.85546875" style="349"/>
    <col min="7425" max="7425" width="3.140625" style="349" customWidth="1"/>
    <col min="7426" max="7426" width="4.42578125" style="349" customWidth="1"/>
    <col min="7427" max="7427" width="8.42578125" style="349" customWidth="1"/>
    <col min="7428" max="7428" width="34.42578125" style="349" customWidth="1"/>
    <col min="7429" max="7429" width="52.42578125" style="349" customWidth="1"/>
    <col min="7430" max="7430" width="13" style="349" customWidth="1"/>
    <col min="7431" max="7431" width="8.7109375" style="349" customWidth="1"/>
    <col min="7432" max="7432" width="11.42578125" style="349" customWidth="1"/>
    <col min="7433" max="7433" width="13.85546875" style="349" customWidth="1"/>
    <col min="7434" max="7434" width="20" style="349" customWidth="1"/>
    <col min="7435" max="7441" width="0" style="349" hidden="1" customWidth="1"/>
    <col min="7442" max="7442" width="5.28515625" style="349" customWidth="1"/>
    <col min="7443" max="7443" width="9.28515625" style="349" customWidth="1"/>
    <col min="7444" max="7466" width="0" style="349" hidden="1" customWidth="1"/>
    <col min="7467" max="7469" width="8.85546875" style="349"/>
    <col min="7470" max="7480" width="0" style="349" hidden="1" customWidth="1"/>
    <col min="7481" max="7680" width="8.85546875" style="349"/>
    <col min="7681" max="7681" width="3.140625" style="349" customWidth="1"/>
    <col min="7682" max="7682" width="4.42578125" style="349" customWidth="1"/>
    <col min="7683" max="7683" width="8.42578125" style="349" customWidth="1"/>
    <col min="7684" max="7684" width="34.42578125" style="349" customWidth="1"/>
    <col min="7685" max="7685" width="52.42578125" style="349" customWidth="1"/>
    <col min="7686" max="7686" width="13" style="349" customWidth="1"/>
    <col min="7687" max="7687" width="8.7109375" style="349" customWidth="1"/>
    <col min="7688" max="7688" width="11.42578125" style="349" customWidth="1"/>
    <col min="7689" max="7689" width="13.85546875" style="349" customWidth="1"/>
    <col min="7690" max="7690" width="20" style="349" customWidth="1"/>
    <col min="7691" max="7697" width="0" style="349" hidden="1" customWidth="1"/>
    <col min="7698" max="7698" width="5.28515625" style="349" customWidth="1"/>
    <col min="7699" max="7699" width="9.28515625" style="349" customWidth="1"/>
    <col min="7700" max="7722" width="0" style="349" hidden="1" customWidth="1"/>
    <col min="7723" max="7725" width="8.85546875" style="349"/>
    <col min="7726" max="7736" width="0" style="349" hidden="1" customWidth="1"/>
    <col min="7737" max="7936" width="8.85546875" style="349"/>
    <col min="7937" max="7937" width="3.140625" style="349" customWidth="1"/>
    <col min="7938" max="7938" width="4.42578125" style="349" customWidth="1"/>
    <col min="7939" max="7939" width="8.42578125" style="349" customWidth="1"/>
    <col min="7940" max="7940" width="34.42578125" style="349" customWidth="1"/>
    <col min="7941" max="7941" width="52.42578125" style="349" customWidth="1"/>
    <col min="7942" max="7942" width="13" style="349" customWidth="1"/>
    <col min="7943" max="7943" width="8.7109375" style="349" customWidth="1"/>
    <col min="7944" max="7944" width="11.42578125" style="349" customWidth="1"/>
    <col min="7945" max="7945" width="13.85546875" style="349" customWidth="1"/>
    <col min="7946" max="7946" width="20" style="349" customWidth="1"/>
    <col min="7947" max="7953" width="0" style="349" hidden="1" customWidth="1"/>
    <col min="7954" max="7954" width="5.28515625" style="349" customWidth="1"/>
    <col min="7955" max="7955" width="9.28515625" style="349" customWidth="1"/>
    <col min="7956" max="7978" width="0" style="349" hidden="1" customWidth="1"/>
    <col min="7979" max="7981" width="8.85546875" style="349"/>
    <col min="7982" max="7992" width="0" style="349" hidden="1" customWidth="1"/>
    <col min="7993" max="8192" width="8.85546875" style="349"/>
    <col min="8193" max="8193" width="3.140625" style="349" customWidth="1"/>
    <col min="8194" max="8194" width="4.42578125" style="349" customWidth="1"/>
    <col min="8195" max="8195" width="8.42578125" style="349" customWidth="1"/>
    <col min="8196" max="8196" width="34.42578125" style="349" customWidth="1"/>
    <col min="8197" max="8197" width="52.42578125" style="349" customWidth="1"/>
    <col min="8198" max="8198" width="13" style="349" customWidth="1"/>
    <col min="8199" max="8199" width="8.7109375" style="349" customWidth="1"/>
    <col min="8200" max="8200" width="11.42578125" style="349" customWidth="1"/>
    <col min="8201" max="8201" width="13.85546875" style="349" customWidth="1"/>
    <col min="8202" max="8202" width="20" style="349" customWidth="1"/>
    <col min="8203" max="8209" width="0" style="349" hidden="1" customWidth="1"/>
    <col min="8210" max="8210" width="5.28515625" style="349" customWidth="1"/>
    <col min="8211" max="8211" width="9.28515625" style="349" customWidth="1"/>
    <col min="8212" max="8234" width="0" style="349" hidden="1" customWidth="1"/>
    <col min="8235" max="8237" width="8.85546875" style="349"/>
    <col min="8238" max="8248" width="0" style="349" hidden="1" customWidth="1"/>
    <col min="8249" max="8448" width="8.85546875" style="349"/>
    <col min="8449" max="8449" width="3.140625" style="349" customWidth="1"/>
    <col min="8450" max="8450" width="4.42578125" style="349" customWidth="1"/>
    <col min="8451" max="8451" width="8.42578125" style="349" customWidth="1"/>
    <col min="8452" max="8452" width="34.42578125" style="349" customWidth="1"/>
    <col min="8453" max="8453" width="52.42578125" style="349" customWidth="1"/>
    <col min="8454" max="8454" width="13" style="349" customWidth="1"/>
    <col min="8455" max="8455" width="8.7109375" style="349" customWidth="1"/>
    <col min="8456" max="8456" width="11.42578125" style="349" customWidth="1"/>
    <col min="8457" max="8457" width="13.85546875" style="349" customWidth="1"/>
    <col min="8458" max="8458" width="20" style="349" customWidth="1"/>
    <col min="8459" max="8465" width="0" style="349" hidden="1" customWidth="1"/>
    <col min="8466" max="8466" width="5.28515625" style="349" customWidth="1"/>
    <col min="8467" max="8467" width="9.28515625" style="349" customWidth="1"/>
    <col min="8468" max="8490" width="0" style="349" hidden="1" customWidth="1"/>
    <col min="8491" max="8493" width="8.85546875" style="349"/>
    <col min="8494" max="8504" width="0" style="349" hidden="1" customWidth="1"/>
    <col min="8505" max="8704" width="8.85546875" style="349"/>
    <col min="8705" max="8705" width="3.140625" style="349" customWidth="1"/>
    <col min="8706" max="8706" width="4.42578125" style="349" customWidth="1"/>
    <col min="8707" max="8707" width="8.42578125" style="349" customWidth="1"/>
    <col min="8708" max="8708" width="34.42578125" style="349" customWidth="1"/>
    <col min="8709" max="8709" width="52.42578125" style="349" customWidth="1"/>
    <col min="8710" max="8710" width="13" style="349" customWidth="1"/>
    <col min="8711" max="8711" width="8.7109375" style="349" customWidth="1"/>
    <col min="8712" max="8712" width="11.42578125" style="349" customWidth="1"/>
    <col min="8713" max="8713" width="13.85546875" style="349" customWidth="1"/>
    <col min="8714" max="8714" width="20" style="349" customWidth="1"/>
    <col min="8715" max="8721" width="0" style="349" hidden="1" customWidth="1"/>
    <col min="8722" max="8722" width="5.28515625" style="349" customWidth="1"/>
    <col min="8723" max="8723" width="9.28515625" style="349" customWidth="1"/>
    <col min="8724" max="8746" width="0" style="349" hidden="1" customWidth="1"/>
    <col min="8747" max="8749" width="8.85546875" style="349"/>
    <col min="8750" max="8760" width="0" style="349" hidden="1" customWidth="1"/>
    <col min="8761" max="8960" width="8.85546875" style="349"/>
    <col min="8961" max="8961" width="3.140625" style="349" customWidth="1"/>
    <col min="8962" max="8962" width="4.42578125" style="349" customWidth="1"/>
    <col min="8963" max="8963" width="8.42578125" style="349" customWidth="1"/>
    <col min="8964" max="8964" width="34.42578125" style="349" customWidth="1"/>
    <col min="8965" max="8965" width="52.42578125" style="349" customWidth="1"/>
    <col min="8966" max="8966" width="13" style="349" customWidth="1"/>
    <col min="8967" max="8967" width="8.7109375" style="349" customWidth="1"/>
    <col min="8968" max="8968" width="11.42578125" style="349" customWidth="1"/>
    <col min="8969" max="8969" width="13.85546875" style="349" customWidth="1"/>
    <col min="8970" max="8970" width="20" style="349" customWidth="1"/>
    <col min="8971" max="8977" width="0" style="349" hidden="1" customWidth="1"/>
    <col min="8978" max="8978" width="5.28515625" style="349" customWidth="1"/>
    <col min="8979" max="8979" width="9.28515625" style="349" customWidth="1"/>
    <col min="8980" max="9002" width="0" style="349" hidden="1" customWidth="1"/>
    <col min="9003" max="9005" width="8.85546875" style="349"/>
    <col min="9006" max="9016" width="0" style="349" hidden="1" customWidth="1"/>
    <col min="9017" max="9216" width="8.85546875" style="349"/>
    <col min="9217" max="9217" width="3.140625" style="349" customWidth="1"/>
    <col min="9218" max="9218" width="4.42578125" style="349" customWidth="1"/>
    <col min="9219" max="9219" width="8.42578125" style="349" customWidth="1"/>
    <col min="9220" max="9220" width="34.42578125" style="349" customWidth="1"/>
    <col min="9221" max="9221" width="52.42578125" style="349" customWidth="1"/>
    <col min="9222" max="9222" width="13" style="349" customWidth="1"/>
    <col min="9223" max="9223" width="8.7109375" style="349" customWidth="1"/>
    <col min="9224" max="9224" width="11.42578125" style="349" customWidth="1"/>
    <col min="9225" max="9225" width="13.85546875" style="349" customWidth="1"/>
    <col min="9226" max="9226" width="20" style="349" customWidth="1"/>
    <col min="9227" max="9233" width="0" style="349" hidden="1" customWidth="1"/>
    <col min="9234" max="9234" width="5.28515625" style="349" customWidth="1"/>
    <col min="9235" max="9235" width="9.28515625" style="349" customWidth="1"/>
    <col min="9236" max="9258" width="0" style="349" hidden="1" customWidth="1"/>
    <col min="9259" max="9261" width="8.85546875" style="349"/>
    <col min="9262" max="9272" width="0" style="349" hidden="1" customWidth="1"/>
    <col min="9273" max="9472" width="8.85546875" style="349"/>
    <col min="9473" max="9473" width="3.140625" style="349" customWidth="1"/>
    <col min="9474" max="9474" width="4.42578125" style="349" customWidth="1"/>
    <col min="9475" max="9475" width="8.42578125" style="349" customWidth="1"/>
    <col min="9476" max="9476" width="34.42578125" style="349" customWidth="1"/>
    <col min="9477" max="9477" width="52.42578125" style="349" customWidth="1"/>
    <col min="9478" max="9478" width="13" style="349" customWidth="1"/>
    <col min="9479" max="9479" width="8.7109375" style="349" customWidth="1"/>
    <col min="9480" max="9480" width="11.42578125" style="349" customWidth="1"/>
    <col min="9481" max="9481" width="13.85546875" style="349" customWidth="1"/>
    <col min="9482" max="9482" width="20" style="349" customWidth="1"/>
    <col min="9483" max="9489" width="0" style="349" hidden="1" customWidth="1"/>
    <col min="9490" max="9490" width="5.28515625" style="349" customWidth="1"/>
    <col min="9491" max="9491" width="9.28515625" style="349" customWidth="1"/>
    <col min="9492" max="9514" width="0" style="349" hidden="1" customWidth="1"/>
    <col min="9515" max="9517" width="8.85546875" style="349"/>
    <col min="9518" max="9528" width="0" style="349" hidden="1" customWidth="1"/>
    <col min="9529" max="9728" width="8.85546875" style="349"/>
    <col min="9729" max="9729" width="3.140625" style="349" customWidth="1"/>
    <col min="9730" max="9730" width="4.42578125" style="349" customWidth="1"/>
    <col min="9731" max="9731" width="8.42578125" style="349" customWidth="1"/>
    <col min="9732" max="9732" width="34.42578125" style="349" customWidth="1"/>
    <col min="9733" max="9733" width="52.42578125" style="349" customWidth="1"/>
    <col min="9734" max="9734" width="13" style="349" customWidth="1"/>
    <col min="9735" max="9735" width="8.7109375" style="349" customWidth="1"/>
    <col min="9736" max="9736" width="11.42578125" style="349" customWidth="1"/>
    <col min="9737" max="9737" width="13.85546875" style="349" customWidth="1"/>
    <col min="9738" max="9738" width="20" style="349" customWidth="1"/>
    <col min="9739" max="9745" width="0" style="349" hidden="1" customWidth="1"/>
    <col min="9746" max="9746" width="5.28515625" style="349" customWidth="1"/>
    <col min="9747" max="9747" width="9.28515625" style="349" customWidth="1"/>
    <col min="9748" max="9770" width="0" style="349" hidden="1" customWidth="1"/>
    <col min="9771" max="9773" width="8.85546875" style="349"/>
    <col min="9774" max="9784" width="0" style="349" hidden="1" customWidth="1"/>
    <col min="9785" max="9984" width="8.85546875" style="349"/>
    <col min="9985" max="9985" width="3.140625" style="349" customWidth="1"/>
    <col min="9986" max="9986" width="4.42578125" style="349" customWidth="1"/>
    <col min="9987" max="9987" width="8.42578125" style="349" customWidth="1"/>
    <col min="9988" max="9988" width="34.42578125" style="349" customWidth="1"/>
    <col min="9989" max="9989" width="52.42578125" style="349" customWidth="1"/>
    <col min="9990" max="9990" width="13" style="349" customWidth="1"/>
    <col min="9991" max="9991" width="8.7109375" style="349" customWidth="1"/>
    <col min="9992" max="9992" width="11.42578125" style="349" customWidth="1"/>
    <col min="9993" max="9993" width="13.85546875" style="349" customWidth="1"/>
    <col min="9994" max="9994" width="20" style="349" customWidth="1"/>
    <col min="9995" max="10001" width="0" style="349" hidden="1" customWidth="1"/>
    <col min="10002" max="10002" width="5.28515625" style="349" customWidth="1"/>
    <col min="10003" max="10003" width="9.28515625" style="349" customWidth="1"/>
    <col min="10004" max="10026" width="0" style="349" hidden="1" customWidth="1"/>
    <col min="10027" max="10029" width="8.85546875" style="349"/>
    <col min="10030" max="10040" width="0" style="349" hidden="1" customWidth="1"/>
    <col min="10041" max="10240" width="8.85546875" style="349"/>
    <col min="10241" max="10241" width="3.140625" style="349" customWidth="1"/>
    <col min="10242" max="10242" width="4.42578125" style="349" customWidth="1"/>
    <col min="10243" max="10243" width="8.42578125" style="349" customWidth="1"/>
    <col min="10244" max="10244" width="34.42578125" style="349" customWidth="1"/>
    <col min="10245" max="10245" width="52.42578125" style="349" customWidth="1"/>
    <col min="10246" max="10246" width="13" style="349" customWidth="1"/>
    <col min="10247" max="10247" width="8.7109375" style="349" customWidth="1"/>
    <col min="10248" max="10248" width="11.42578125" style="349" customWidth="1"/>
    <col min="10249" max="10249" width="13.85546875" style="349" customWidth="1"/>
    <col min="10250" max="10250" width="20" style="349" customWidth="1"/>
    <col min="10251" max="10257" width="0" style="349" hidden="1" customWidth="1"/>
    <col min="10258" max="10258" width="5.28515625" style="349" customWidth="1"/>
    <col min="10259" max="10259" width="9.28515625" style="349" customWidth="1"/>
    <col min="10260" max="10282" width="0" style="349" hidden="1" customWidth="1"/>
    <col min="10283" max="10285" width="8.85546875" style="349"/>
    <col min="10286" max="10296" width="0" style="349" hidden="1" customWidth="1"/>
    <col min="10297" max="10496" width="8.85546875" style="349"/>
    <col min="10497" max="10497" width="3.140625" style="349" customWidth="1"/>
    <col min="10498" max="10498" width="4.42578125" style="349" customWidth="1"/>
    <col min="10499" max="10499" width="8.42578125" style="349" customWidth="1"/>
    <col min="10500" max="10500" width="34.42578125" style="349" customWidth="1"/>
    <col min="10501" max="10501" width="52.42578125" style="349" customWidth="1"/>
    <col min="10502" max="10502" width="13" style="349" customWidth="1"/>
    <col min="10503" max="10503" width="8.7109375" style="349" customWidth="1"/>
    <col min="10504" max="10504" width="11.42578125" style="349" customWidth="1"/>
    <col min="10505" max="10505" width="13.85546875" style="349" customWidth="1"/>
    <col min="10506" max="10506" width="20" style="349" customWidth="1"/>
    <col min="10507" max="10513" width="0" style="349" hidden="1" customWidth="1"/>
    <col min="10514" max="10514" width="5.28515625" style="349" customWidth="1"/>
    <col min="10515" max="10515" width="9.28515625" style="349" customWidth="1"/>
    <col min="10516" max="10538" width="0" style="349" hidden="1" customWidth="1"/>
    <col min="10539" max="10541" width="8.85546875" style="349"/>
    <col min="10542" max="10552" width="0" style="349" hidden="1" customWidth="1"/>
    <col min="10553" max="10752" width="8.85546875" style="349"/>
    <col min="10753" max="10753" width="3.140625" style="349" customWidth="1"/>
    <col min="10754" max="10754" width="4.42578125" style="349" customWidth="1"/>
    <col min="10755" max="10755" width="8.42578125" style="349" customWidth="1"/>
    <col min="10756" max="10756" width="34.42578125" style="349" customWidth="1"/>
    <col min="10757" max="10757" width="52.42578125" style="349" customWidth="1"/>
    <col min="10758" max="10758" width="13" style="349" customWidth="1"/>
    <col min="10759" max="10759" width="8.7109375" style="349" customWidth="1"/>
    <col min="10760" max="10760" width="11.42578125" style="349" customWidth="1"/>
    <col min="10761" max="10761" width="13.85546875" style="349" customWidth="1"/>
    <col min="10762" max="10762" width="20" style="349" customWidth="1"/>
    <col min="10763" max="10769" width="0" style="349" hidden="1" customWidth="1"/>
    <col min="10770" max="10770" width="5.28515625" style="349" customWidth="1"/>
    <col min="10771" max="10771" width="9.28515625" style="349" customWidth="1"/>
    <col min="10772" max="10794" width="0" style="349" hidden="1" customWidth="1"/>
    <col min="10795" max="10797" width="8.85546875" style="349"/>
    <col min="10798" max="10808" width="0" style="349" hidden="1" customWidth="1"/>
    <col min="10809" max="11008" width="8.85546875" style="349"/>
    <col min="11009" max="11009" width="3.140625" style="349" customWidth="1"/>
    <col min="11010" max="11010" width="4.42578125" style="349" customWidth="1"/>
    <col min="11011" max="11011" width="8.42578125" style="349" customWidth="1"/>
    <col min="11012" max="11012" width="34.42578125" style="349" customWidth="1"/>
    <col min="11013" max="11013" width="52.42578125" style="349" customWidth="1"/>
    <col min="11014" max="11014" width="13" style="349" customWidth="1"/>
    <col min="11015" max="11015" width="8.7109375" style="349" customWidth="1"/>
    <col min="11016" max="11016" width="11.42578125" style="349" customWidth="1"/>
    <col min="11017" max="11017" width="13.85546875" style="349" customWidth="1"/>
    <col min="11018" max="11018" width="20" style="349" customWidth="1"/>
    <col min="11019" max="11025" width="0" style="349" hidden="1" customWidth="1"/>
    <col min="11026" max="11026" width="5.28515625" style="349" customWidth="1"/>
    <col min="11027" max="11027" width="9.28515625" style="349" customWidth="1"/>
    <col min="11028" max="11050" width="0" style="349" hidden="1" customWidth="1"/>
    <col min="11051" max="11053" width="8.85546875" style="349"/>
    <col min="11054" max="11064" width="0" style="349" hidden="1" customWidth="1"/>
    <col min="11065" max="11264" width="8.85546875" style="349"/>
    <col min="11265" max="11265" width="3.140625" style="349" customWidth="1"/>
    <col min="11266" max="11266" width="4.42578125" style="349" customWidth="1"/>
    <col min="11267" max="11267" width="8.42578125" style="349" customWidth="1"/>
    <col min="11268" max="11268" width="34.42578125" style="349" customWidth="1"/>
    <col min="11269" max="11269" width="52.42578125" style="349" customWidth="1"/>
    <col min="11270" max="11270" width="13" style="349" customWidth="1"/>
    <col min="11271" max="11271" width="8.7109375" style="349" customWidth="1"/>
    <col min="11272" max="11272" width="11.42578125" style="349" customWidth="1"/>
    <col min="11273" max="11273" width="13.85546875" style="349" customWidth="1"/>
    <col min="11274" max="11274" width="20" style="349" customWidth="1"/>
    <col min="11275" max="11281" width="0" style="349" hidden="1" customWidth="1"/>
    <col min="11282" max="11282" width="5.28515625" style="349" customWidth="1"/>
    <col min="11283" max="11283" width="9.28515625" style="349" customWidth="1"/>
    <col min="11284" max="11306" width="0" style="349" hidden="1" customWidth="1"/>
    <col min="11307" max="11309" width="8.85546875" style="349"/>
    <col min="11310" max="11320" width="0" style="349" hidden="1" customWidth="1"/>
    <col min="11321" max="11520" width="8.85546875" style="349"/>
    <col min="11521" max="11521" width="3.140625" style="349" customWidth="1"/>
    <col min="11522" max="11522" width="4.42578125" style="349" customWidth="1"/>
    <col min="11523" max="11523" width="8.42578125" style="349" customWidth="1"/>
    <col min="11524" max="11524" width="34.42578125" style="349" customWidth="1"/>
    <col min="11525" max="11525" width="52.42578125" style="349" customWidth="1"/>
    <col min="11526" max="11526" width="13" style="349" customWidth="1"/>
    <col min="11527" max="11527" width="8.7109375" style="349" customWidth="1"/>
    <col min="11528" max="11528" width="11.42578125" style="349" customWidth="1"/>
    <col min="11529" max="11529" width="13.85546875" style="349" customWidth="1"/>
    <col min="11530" max="11530" width="20" style="349" customWidth="1"/>
    <col min="11531" max="11537" width="0" style="349" hidden="1" customWidth="1"/>
    <col min="11538" max="11538" width="5.28515625" style="349" customWidth="1"/>
    <col min="11539" max="11539" width="9.28515625" style="349" customWidth="1"/>
    <col min="11540" max="11562" width="0" style="349" hidden="1" customWidth="1"/>
    <col min="11563" max="11565" width="8.85546875" style="349"/>
    <col min="11566" max="11576" width="0" style="349" hidden="1" customWidth="1"/>
    <col min="11577" max="11776" width="8.85546875" style="349"/>
    <col min="11777" max="11777" width="3.140625" style="349" customWidth="1"/>
    <col min="11778" max="11778" width="4.42578125" style="349" customWidth="1"/>
    <col min="11779" max="11779" width="8.42578125" style="349" customWidth="1"/>
    <col min="11780" max="11780" width="34.42578125" style="349" customWidth="1"/>
    <col min="11781" max="11781" width="52.42578125" style="349" customWidth="1"/>
    <col min="11782" max="11782" width="13" style="349" customWidth="1"/>
    <col min="11783" max="11783" width="8.7109375" style="349" customWidth="1"/>
    <col min="11784" max="11784" width="11.42578125" style="349" customWidth="1"/>
    <col min="11785" max="11785" width="13.85546875" style="349" customWidth="1"/>
    <col min="11786" max="11786" width="20" style="349" customWidth="1"/>
    <col min="11787" max="11793" width="0" style="349" hidden="1" customWidth="1"/>
    <col min="11794" max="11794" width="5.28515625" style="349" customWidth="1"/>
    <col min="11795" max="11795" width="9.28515625" style="349" customWidth="1"/>
    <col min="11796" max="11818" width="0" style="349" hidden="1" customWidth="1"/>
    <col min="11819" max="11821" width="8.85546875" style="349"/>
    <col min="11822" max="11832" width="0" style="349" hidden="1" customWidth="1"/>
    <col min="11833" max="12032" width="8.85546875" style="349"/>
    <col min="12033" max="12033" width="3.140625" style="349" customWidth="1"/>
    <col min="12034" max="12034" width="4.42578125" style="349" customWidth="1"/>
    <col min="12035" max="12035" width="8.42578125" style="349" customWidth="1"/>
    <col min="12036" max="12036" width="34.42578125" style="349" customWidth="1"/>
    <col min="12037" max="12037" width="52.42578125" style="349" customWidth="1"/>
    <col min="12038" max="12038" width="13" style="349" customWidth="1"/>
    <col min="12039" max="12039" width="8.7109375" style="349" customWidth="1"/>
    <col min="12040" max="12040" width="11.42578125" style="349" customWidth="1"/>
    <col min="12041" max="12041" width="13.85546875" style="349" customWidth="1"/>
    <col min="12042" max="12042" width="20" style="349" customWidth="1"/>
    <col min="12043" max="12049" width="0" style="349" hidden="1" customWidth="1"/>
    <col min="12050" max="12050" width="5.28515625" style="349" customWidth="1"/>
    <col min="12051" max="12051" width="9.28515625" style="349" customWidth="1"/>
    <col min="12052" max="12074" width="0" style="349" hidden="1" customWidth="1"/>
    <col min="12075" max="12077" width="8.85546875" style="349"/>
    <col min="12078" max="12088" width="0" style="349" hidden="1" customWidth="1"/>
    <col min="12089" max="12288" width="8.85546875" style="349"/>
    <col min="12289" max="12289" width="3.140625" style="349" customWidth="1"/>
    <col min="12290" max="12290" width="4.42578125" style="349" customWidth="1"/>
    <col min="12291" max="12291" width="8.42578125" style="349" customWidth="1"/>
    <col min="12292" max="12292" width="34.42578125" style="349" customWidth="1"/>
    <col min="12293" max="12293" width="52.42578125" style="349" customWidth="1"/>
    <col min="12294" max="12294" width="13" style="349" customWidth="1"/>
    <col min="12295" max="12295" width="8.7109375" style="349" customWidth="1"/>
    <col min="12296" max="12296" width="11.42578125" style="349" customWidth="1"/>
    <col min="12297" max="12297" width="13.85546875" style="349" customWidth="1"/>
    <col min="12298" max="12298" width="20" style="349" customWidth="1"/>
    <col min="12299" max="12305" width="0" style="349" hidden="1" customWidth="1"/>
    <col min="12306" max="12306" width="5.28515625" style="349" customWidth="1"/>
    <col min="12307" max="12307" width="9.28515625" style="349" customWidth="1"/>
    <col min="12308" max="12330" width="0" style="349" hidden="1" customWidth="1"/>
    <col min="12331" max="12333" width="8.85546875" style="349"/>
    <col min="12334" max="12344" width="0" style="349" hidden="1" customWidth="1"/>
    <col min="12345" max="12544" width="8.85546875" style="349"/>
    <col min="12545" max="12545" width="3.140625" style="349" customWidth="1"/>
    <col min="12546" max="12546" width="4.42578125" style="349" customWidth="1"/>
    <col min="12547" max="12547" width="8.42578125" style="349" customWidth="1"/>
    <col min="12548" max="12548" width="34.42578125" style="349" customWidth="1"/>
    <col min="12549" max="12549" width="52.42578125" style="349" customWidth="1"/>
    <col min="12550" max="12550" width="13" style="349" customWidth="1"/>
    <col min="12551" max="12551" width="8.7109375" style="349" customWidth="1"/>
    <col min="12552" max="12552" width="11.42578125" style="349" customWidth="1"/>
    <col min="12553" max="12553" width="13.85546875" style="349" customWidth="1"/>
    <col min="12554" max="12554" width="20" style="349" customWidth="1"/>
    <col min="12555" max="12561" width="0" style="349" hidden="1" customWidth="1"/>
    <col min="12562" max="12562" width="5.28515625" style="349" customWidth="1"/>
    <col min="12563" max="12563" width="9.28515625" style="349" customWidth="1"/>
    <col min="12564" max="12586" width="0" style="349" hidden="1" customWidth="1"/>
    <col min="12587" max="12589" width="8.85546875" style="349"/>
    <col min="12590" max="12600" width="0" style="349" hidden="1" customWidth="1"/>
    <col min="12601" max="12800" width="8.85546875" style="349"/>
    <col min="12801" max="12801" width="3.140625" style="349" customWidth="1"/>
    <col min="12802" max="12802" width="4.42578125" style="349" customWidth="1"/>
    <col min="12803" max="12803" width="8.42578125" style="349" customWidth="1"/>
    <col min="12804" max="12804" width="34.42578125" style="349" customWidth="1"/>
    <col min="12805" max="12805" width="52.42578125" style="349" customWidth="1"/>
    <col min="12806" max="12806" width="13" style="349" customWidth="1"/>
    <col min="12807" max="12807" width="8.7109375" style="349" customWidth="1"/>
    <col min="12808" max="12808" width="11.42578125" style="349" customWidth="1"/>
    <col min="12809" max="12809" width="13.85546875" style="349" customWidth="1"/>
    <col min="12810" max="12810" width="20" style="349" customWidth="1"/>
    <col min="12811" max="12817" width="0" style="349" hidden="1" customWidth="1"/>
    <col min="12818" max="12818" width="5.28515625" style="349" customWidth="1"/>
    <col min="12819" max="12819" width="9.28515625" style="349" customWidth="1"/>
    <col min="12820" max="12842" width="0" style="349" hidden="1" customWidth="1"/>
    <col min="12843" max="12845" width="8.85546875" style="349"/>
    <col min="12846" max="12856" width="0" style="349" hidden="1" customWidth="1"/>
    <col min="12857" max="13056" width="8.85546875" style="349"/>
    <col min="13057" max="13057" width="3.140625" style="349" customWidth="1"/>
    <col min="13058" max="13058" width="4.42578125" style="349" customWidth="1"/>
    <col min="13059" max="13059" width="8.42578125" style="349" customWidth="1"/>
    <col min="13060" max="13060" width="34.42578125" style="349" customWidth="1"/>
    <col min="13061" max="13061" width="52.42578125" style="349" customWidth="1"/>
    <col min="13062" max="13062" width="13" style="349" customWidth="1"/>
    <col min="13063" max="13063" width="8.7109375" style="349" customWidth="1"/>
    <col min="13064" max="13064" width="11.42578125" style="349" customWidth="1"/>
    <col min="13065" max="13065" width="13.85546875" style="349" customWidth="1"/>
    <col min="13066" max="13066" width="20" style="349" customWidth="1"/>
    <col min="13067" max="13073" width="0" style="349" hidden="1" customWidth="1"/>
    <col min="13074" max="13074" width="5.28515625" style="349" customWidth="1"/>
    <col min="13075" max="13075" width="9.28515625" style="349" customWidth="1"/>
    <col min="13076" max="13098" width="0" style="349" hidden="1" customWidth="1"/>
    <col min="13099" max="13101" width="8.85546875" style="349"/>
    <col min="13102" max="13112" width="0" style="349" hidden="1" customWidth="1"/>
    <col min="13113" max="13312" width="8.85546875" style="349"/>
    <col min="13313" max="13313" width="3.140625" style="349" customWidth="1"/>
    <col min="13314" max="13314" width="4.42578125" style="349" customWidth="1"/>
    <col min="13315" max="13315" width="8.42578125" style="349" customWidth="1"/>
    <col min="13316" max="13316" width="34.42578125" style="349" customWidth="1"/>
    <col min="13317" max="13317" width="52.42578125" style="349" customWidth="1"/>
    <col min="13318" max="13318" width="13" style="349" customWidth="1"/>
    <col min="13319" max="13319" width="8.7109375" style="349" customWidth="1"/>
    <col min="13320" max="13320" width="11.42578125" style="349" customWidth="1"/>
    <col min="13321" max="13321" width="13.85546875" style="349" customWidth="1"/>
    <col min="13322" max="13322" width="20" style="349" customWidth="1"/>
    <col min="13323" max="13329" width="0" style="349" hidden="1" customWidth="1"/>
    <col min="13330" max="13330" width="5.28515625" style="349" customWidth="1"/>
    <col min="13331" max="13331" width="9.28515625" style="349" customWidth="1"/>
    <col min="13332" max="13354" width="0" style="349" hidden="1" customWidth="1"/>
    <col min="13355" max="13357" width="8.85546875" style="349"/>
    <col min="13358" max="13368" width="0" style="349" hidden="1" customWidth="1"/>
    <col min="13369" max="13568" width="8.85546875" style="349"/>
    <col min="13569" max="13569" width="3.140625" style="349" customWidth="1"/>
    <col min="13570" max="13570" width="4.42578125" style="349" customWidth="1"/>
    <col min="13571" max="13571" width="8.42578125" style="349" customWidth="1"/>
    <col min="13572" max="13572" width="34.42578125" style="349" customWidth="1"/>
    <col min="13573" max="13573" width="52.42578125" style="349" customWidth="1"/>
    <col min="13574" max="13574" width="13" style="349" customWidth="1"/>
    <col min="13575" max="13575" width="8.7109375" style="349" customWidth="1"/>
    <col min="13576" max="13576" width="11.42578125" style="349" customWidth="1"/>
    <col min="13577" max="13577" width="13.85546875" style="349" customWidth="1"/>
    <col min="13578" max="13578" width="20" style="349" customWidth="1"/>
    <col min="13579" max="13585" width="0" style="349" hidden="1" customWidth="1"/>
    <col min="13586" max="13586" width="5.28515625" style="349" customWidth="1"/>
    <col min="13587" max="13587" width="9.28515625" style="349" customWidth="1"/>
    <col min="13588" max="13610" width="0" style="349" hidden="1" customWidth="1"/>
    <col min="13611" max="13613" width="8.85546875" style="349"/>
    <col min="13614" max="13624" width="0" style="349" hidden="1" customWidth="1"/>
    <col min="13625" max="13824" width="8.85546875" style="349"/>
    <col min="13825" max="13825" width="3.140625" style="349" customWidth="1"/>
    <col min="13826" max="13826" width="4.42578125" style="349" customWidth="1"/>
    <col min="13827" max="13827" width="8.42578125" style="349" customWidth="1"/>
    <col min="13828" max="13828" width="34.42578125" style="349" customWidth="1"/>
    <col min="13829" max="13829" width="52.42578125" style="349" customWidth="1"/>
    <col min="13830" max="13830" width="13" style="349" customWidth="1"/>
    <col min="13831" max="13831" width="8.7109375" style="349" customWidth="1"/>
    <col min="13832" max="13832" width="11.42578125" style="349" customWidth="1"/>
    <col min="13833" max="13833" width="13.85546875" style="349" customWidth="1"/>
    <col min="13834" max="13834" width="20" style="349" customWidth="1"/>
    <col min="13835" max="13841" width="0" style="349" hidden="1" customWidth="1"/>
    <col min="13842" max="13842" width="5.28515625" style="349" customWidth="1"/>
    <col min="13843" max="13843" width="9.28515625" style="349" customWidth="1"/>
    <col min="13844" max="13866" width="0" style="349" hidden="1" customWidth="1"/>
    <col min="13867" max="13869" width="8.85546875" style="349"/>
    <col min="13870" max="13880" width="0" style="349" hidden="1" customWidth="1"/>
    <col min="13881" max="14080" width="8.85546875" style="349"/>
    <col min="14081" max="14081" width="3.140625" style="349" customWidth="1"/>
    <col min="14082" max="14082" width="4.42578125" style="349" customWidth="1"/>
    <col min="14083" max="14083" width="8.42578125" style="349" customWidth="1"/>
    <col min="14084" max="14084" width="34.42578125" style="349" customWidth="1"/>
    <col min="14085" max="14085" width="52.42578125" style="349" customWidth="1"/>
    <col min="14086" max="14086" width="13" style="349" customWidth="1"/>
    <col min="14087" max="14087" width="8.7109375" style="349" customWidth="1"/>
    <col min="14088" max="14088" width="11.42578125" style="349" customWidth="1"/>
    <col min="14089" max="14089" width="13.85546875" style="349" customWidth="1"/>
    <col min="14090" max="14090" width="20" style="349" customWidth="1"/>
    <col min="14091" max="14097" width="0" style="349" hidden="1" customWidth="1"/>
    <col min="14098" max="14098" width="5.28515625" style="349" customWidth="1"/>
    <col min="14099" max="14099" width="9.28515625" style="349" customWidth="1"/>
    <col min="14100" max="14122" width="0" style="349" hidden="1" customWidth="1"/>
    <col min="14123" max="14125" width="8.85546875" style="349"/>
    <col min="14126" max="14136" width="0" style="349" hidden="1" customWidth="1"/>
    <col min="14137" max="14336" width="8.85546875" style="349"/>
    <col min="14337" max="14337" width="3.140625" style="349" customWidth="1"/>
    <col min="14338" max="14338" width="4.42578125" style="349" customWidth="1"/>
    <col min="14339" max="14339" width="8.42578125" style="349" customWidth="1"/>
    <col min="14340" max="14340" width="34.42578125" style="349" customWidth="1"/>
    <col min="14341" max="14341" width="52.42578125" style="349" customWidth="1"/>
    <col min="14342" max="14342" width="13" style="349" customWidth="1"/>
    <col min="14343" max="14343" width="8.7109375" style="349" customWidth="1"/>
    <col min="14344" max="14344" width="11.42578125" style="349" customWidth="1"/>
    <col min="14345" max="14345" width="13.85546875" style="349" customWidth="1"/>
    <col min="14346" max="14346" width="20" style="349" customWidth="1"/>
    <col min="14347" max="14353" width="0" style="349" hidden="1" customWidth="1"/>
    <col min="14354" max="14354" width="5.28515625" style="349" customWidth="1"/>
    <col min="14355" max="14355" width="9.28515625" style="349" customWidth="1"/>
    <col min="14356" max="14378" width="0" style="349" hidden="1" customWidth="1"/>
    <col min="14379" max="14381" width="8.85546875" style="349"/>
    <col min="14382" max="14392" width="0" style="349" hidden="1" customWidth="1"/>
    <col min="14393" max="14592" width="8.85546875" style="349"/>
    <col min="14593" max="14593" width="3.140625" style="349" customWidth="1"/>
    <col min="14594" max="14594" width="4.42578125" style="349" customWidth="1"/>
    <col min="14595" max="14595" width="8.42578125" style="349" customWidth="1"/>
    <col min="14596" max="14596" width="34.42578125" style="349" customWidth="1"/>
    <col min="14597" max="14597" width="52.42578125" style="349" customWidth="1"/>
    <col min="14598" max="14598" width="13" style="349" customWidth="1"/>
    <col min="14599" max="14599" width="8.7109375" style="349" customWidth="1"/>
    <col min="14600" max="14600" width="11.42578125" style="349" customWidth="1"/>
    <col min="14601" max="14601" width="13.85546875" style="349" customWidth="1"/>
    <col min="14602" max="14602" width="20" style="349" customWidth="1"/>
    <col min="14603" max="14609" width="0" style="349" hidden="1" customWidth="1"/>
    <col min="14610" max="14610" width="5.28515625" style="349" customWidth="1"/>
    <col min="14611" max="14611" width="9.28515625" style="349" customWidth="1"/>
    <col min="14612" max="14634" width="0" style="349" hidden="1" customWidth="1"/>
    <col min="14635" max="14637" width="8.85546875" style="349"/>
    <col min="14638" max="14648" width="0" style="349" hidden="1" customWidth="1"/>
    <col min="14649" max="14848" width="8.85546875" style="349"/>
    <col min="14849" max="14849" width="3.140625" style="349" customWidth="1"/>
    <col min="14850" max="14850" width="4.42578125" style="349" customWidth="1"/>
    <col min="14851" max="14851" width="8.42578125" style="349" customWidth="1"/>
    <col min="14852" max="14852" width="34.42578125" style="349" customWidth="1"/>
    <col min="14853" max="14853" width="52.42578125" style="349" customWidth="1"/>
    <col min="14854" max="14854" width="13" style="349" customWidth="1"/>
    <col min="14855" max="14855" width="8.7109375" style="349" customWidth="1"/>
    <col min="14856" max="14856" width="11.42578125" style="349" customWidth="1"/>
    <col min="14857" max="14857" width="13.85546875" style="349" customWidth="1"/>
    <col min="14858" max="14858" width="20" style="349" customWidth="1"/>
    <col min="14859" max="14865" width="0" style="349" hidden="1" customWidth="1"/>
    <col min="14866" max="14866" width="5.28515625" style="349" customWidth="1"/>
    <col min="14867" max="14867" width="9.28515625" style="349" customWidth="1"/>
    <col min="14868" max="14890" width="0" style="349" hidden="1" customWidth="1"/>
    <col min="14891" max="14893" width="8.85546875" style="349"/>
    <col min="14894" max="14904" width="0" style="349" hidden="1" customWidth="1"/>
    <col min="14905" max="15104" width="8.85546875" style="349"/>
    <col min="15105" max="15105" width="3.140625" style="349" customWidth="1"/>
    <col min="15106" max="15106" width="4.42578125" style="349" customWidth="1"/>
    <col min="15107" max="15107" width="8.42578125" style="349" customWidth="1"/>
    <col min="15108" max="15108" width="34.42578125" style="349" customWidth="1"/>
    <col min="15109" max="15109" width="52.42578125" style="349" customWidth="1"/>
    <col min="15110" max="15110" width="13" style="349" customWidth="1"/>
    <col min="15111" max="15111" width="8.7109375" style="349" customWidth="1"/>
    <col min="15112" max="15112" width="11.42578125" style="349" customWidth="1"/>
    <col min="15113" max="15113" width="13.85546875" style="349" customWidth="1"/>
    <col min="15114" max="15114" width="20" style="349" customWidth="1"/>
    <col min="15115" max="15121" width="0" style="349" hidden="1" customWidth="1"/>
    <col min="15122" max="15122" width="5.28515625" style="349" customWidth="1"/>
    <col min="15123" max="15123" width="9.28515625" style="349" customWidth="1"/>
    <col min="15124" max="15146" width="0" style="349" hidden="1" customWidth="1"/>
    <col min="15147" max="15149" width="8.85546875" style="349"/>
    <col min="15150" max="15160" width="0" style="349" hidden="1" customWidth="1"/>
    <col min="15161" max="15360" width="8.85546875" style="349"/>
    <col min="15361" max="15361" width="3.140625" style="349" customWidth="1"/>
    <col min="15362" max="15362" width="4.42578125" style="349" customWidth="1"/>
    <col min="15363" max="15363" width="8.42578125" style="349" customWidth="1"/>
    <col min="15364" max="15364" width="34.42578125" style="349" customWidth="1"/>
    <col min="15365" max="15365" width="52.42578125" style="349" customWidth="1"/>
    <col min="15366" max="15366" width="13" style="349" customWidth="1"/>
    <col min="15367" max="15367" width="8.7109375" style="349" customWidth="1"/>
    <col min="15368" max="15368" width="11.42578125" style="349" customWidth="1"/>
    <col min="15369" max="15369" width="13.85546875" style="349" customWidth="1"/>
    <col min="15370" max="15370" width="20" style="349" customWidth="1"/>
    <col min="15371" max="15377" width="0" style="349" hidden="1" customWidth="1"/>
    <col min="15378" max="15378" width="5.28515625" style="349" customWidth="1"/>
    <col min="15379" max="15379" width="9.28515625" style="349" customWidth="1"/>
    <col min="15380" max="15402" width="0" style="349" hidden="1" customWidth="1"/>
    <col min="15403" max="15405" width="8.85546875" style="349"/>
    <col min="15406" max="15416" width="0" style="349" hidden="1" customWidth="1"/>
    <col min="15417" max="15616" width="8.85546875" style="349"/>
    <col min="15617" max="15617" width="3.140625" style="349" customWidth="1"/>
    <col min="15618" max="15618" width="4.42578125" style="349" customWidth="1"/>
    <col min="15619" max="15619" width="8.42578125" style="349" customWidth="1"/>
    <col min="15620" max="15620" width="34.42578125" style="349" customWidth="1"/>
    <col min="15621" max="15621" width="52.42578125" style="349" customWidth="1"/>
    <col min="15622" max="15622" width="13" style="349" customWidth="1"/>
    <col min="15623" max="15623" width="8.7109375" style="349" customWidth="1"/>
    <col min="15624" max="15624" width="11.42578125" style="349" customWidth="1"/>
    <col min="15625" max="15625" width="13.85546875" style="349" customWidth="1"/>
    <col min="15626" max="15626" width="20" style="349" customWidth="1"/>
    <col min="15627" max="15633" width="0" style="349" hidden="1" customWidth="1"/>
    <col min="15634" max="15634" width="5.28515625" style="349" customWidth="1"/>
    <col min="15635" max="15635" width="9.28515625" style="349" customWidth="1"/>
    <col min="15636" max="15658" width="0" style="349" hidden="1" customWidth="1"/>
    <col min="15659" max="15661" width="8.85546875" style="349"/>
    <col min="15662" max="15672" width="0" style="349" hidden="1" customWidth="1"/>
    <col min="15673" max="15872" width="8.85546875" style="349"/>
    <col min="15873" max="15873" width="3.140625" style="349" customWidth="1"/>
    <col min="15874" max="15874" width="4.42578125" style="349" customWidth="1"/>
    <col min="15875" max="15875" width="8.42578125" style="349" customWidth="1"/>
    <col min="15876" max="15876" width="34.42578125" style="349" customWidth="1"/>
    <col min="15877" max="15877" width="52.42578125" style="349" customWidth="1"/>
    <col min="15878" max="15878" width="13" style="349" customWidth="1"/>
    <col min="15879" max="15879" width="8.7109375" style="349" customWidth="1"/>
    <col min="15880" max="15880" width="11.42578125" style="349" customWidth="1"/>
    <col min="15881" max="15881" width="13.85546875" style="349" customWidth="1"/>
    <col min="15882" max="15882" width="20" style="349" customWidth="1"/>
    <col min="15883" max="15889" width="0" style="349" hidden="1" customWidth="1"/>
    <col min="15890" max="15890" width="5.28515625" style="349" customWidth="1"/>
    <col min="15891" max="15891" width="9.28515625" style="349" customWidth="1"/>
    <col min="15892" max="15914" width="0" style="349" hidden="1" customWidth="1"/>
    <col min="15915" max="15917" width="8.85546875" style="349"/>
    <col min="15918" max="15928" width="0" style="349" hidden="1" customWidth="1"/>
    <col min="15929" max="16128" width="8.85546875" style="349"/>
    <col min="16129" max="16129" width="3.140625" style="349" customWidth="1"/>
    <col min="16130" max="16130" width="4.42578125" style="349" customWidth="1"/>
    <col min="16131" max="16131" width="8.42578125" style="349" customWidth="1"/>
    <col min="16132" max="16132" width="34.42578125" style="349" customWidth="1"/>
    <col min="16133" max="16133" width="52.42578125" style="349" customWidth="1"/>
    <col min="16134" max="16134" width="13" style="349" customWidth="1"/>
    <col min="16135" max="16135" width="8.7109375" style="349" customWidth="1"/>
    <col min="16136" max="16136" width="11.42578125" style="349" customWidth="1"/>
    <col min="16137" max="16137" width="13.85546875" style="349" customWidth="1"/>
    <col min="16138" max="16138" width="20" style="349" customWidth="1"/>
    <col min="16139" max="16145" width="0" style="349" hidden="1" customWidth="1"/>
    <col min="16146" max="16146" width="5.28515625" style="349" customWidth="1"/>
    <col min="16147" max="16147" width="9.28515625" style="349" customWidth="1"/>
    <col min="16148" max="16170" width="0" style="349" hidden="1" customWidth="1"/>
    <col min="16171" max="16173" width="8.85546875" style="349"/>
    <col min="16174" max="16184" width="0" style="349" hidden="1" customWidth="1"/>
    <col min="16185" max="16384" width="8.85546875" style="349"/>
  </cols>
  <sheetData>
    <row r="1" spans="2:11" s="344" customFormat="1" ht="12.75" customHeight="1" x14ac:dyDescent="0.2">
      <c r="B1" s="345" t="s">
        <v>1160</v>
      </c>
      <c r="C1" s="345"/>
      <c r="D1" s="345"/>
      <c r="E1" s="345"/>
      <c r="F1" s="345"/>
      <c r="G1" s="345"/>
      <c r="H1" s="345"/>
      <c r="I1" s="345"/>
      <c r="J1" s="345"/>
      <c r="K1" s="346" t="s">
        <v>1161</v>
      </c>
    </row>
    <row r="2" spans="2:11" s="344" customFormat="1" ht="12.75" customHeight="1" x14ac:dyDescent="0.2">
      <c r="B2" s="347"/>
      <c r="K2" s="346"/>
    </row>
    <row r="3" spans="2:11" s="344" customFormat="1" ht="12.75" customHeight="1" x14ac:dyDescent="0.2">
      <c r="C3" s="347" t="s">
        <v>24</v>
      </c>
      <c r="E3" s="348" t="s">
        <v>1162</v>
      </c>
      <c r="F3" s="346"/>
      <c r="G3" s="346"/>
      <c r="H3" s="346"/>
      <c r="I3" s="346"/>
      <c r="J3" s="346"/>
    </row>
    <row r="4" spans="2:11" s="346" customFormat="1" ht="12.75" customHeight="1" x14ac:dyDescent="0.2">
      <c r="C4" s="347"/>
    </row>
    <row r="5" spans="2:11" s="346" customFormat="1" ht="12.75" customHeight="1" x14ac:dyDescent="0.2">
      <c r="C5" s="347" t="s">
        <v>1163</v>
      </c>
      <c r="E5" s="346" t="s">
        <v>1164</v>
      </c>
    </row>
    <row r="6" spans="2:11" s="346" customFormat="1" ht="12.75" customHeight="1" x14ac:dyDescent="0.2">
      <c r="C6" s="347" t="s">
        <v>1165</v>
      </c>
      <c r="E6" s="346" t="s">
        <v>1166</v>
      </c>
    </row>
    <row r="7" spans="2:11" s="346" customFormat="1" ht="12.75" customHeight="1" x14ac:dyDescent="0.2">
      <c r="C7" s="347" t="s">
        <v>1167</v>
      </c>
      <c r="E7" s="346" t="s">
        <v>1168</v>
      </c>
    </row>
    <row r="8" spans="2:11" s="346" customFormat="1" ht="12.75" customHeight="1" x14ac:dyDescent="0.2">
      <c r="C8" s="347" t="s">
        <v>1169</v>
      </c>
      <c r="E8" s="346" t="s">
        <v>1168</v>
      </c>
    </row>
    <row r="9" spans="2:11" s="346" customFormat="1" ht="12.75" customHeight="1" x14ac:dyDescent="0.2">
      <c r="C9" s="347" t="s">
        <v>1139</v>
      </c>
      <c r="E9" s="347" t="s">
        <v>1170</v>
      </c>
    </row>
    <row r="10" spans="2:11" s="346" customFormat="1" ht="12.75" customHeight="1" x14ac:dyDescent="0.2">
      <c r="C10" s="347"/>
      <c r="E10" s="347"/>
    </row>
    <row r="11" spans="2:11" s="346" customFormat="1" ht="12.75" customHeight="1" x14ac:dyDescent="0.2">
      <c r="C11" s="347"/>
      <c r="E11" s="347"/>
    </row>
    <row r="12" spans="2:11" s="346" customFormat="1" ht="12.75" customHeight="1" x14ac:dyDescent="0.2">
      <c r="C12" s="347" t="s">
        <v>1171</v>
      </c>
      <c r="E12" s="349"/>
    </row>
    <row r="13" spans="2:11" s="346" customFormat="1" ht="12.75" customHeight="1" x14ac:dyDescent="0.2">
      <c r="C13" s="347" t="s">
        <v>1172</v>
      </c>
      <c r="E13" s="349"/>
    </row>
    <row r="14" spans="2:11" s="346" customFormat="1" ht="12.75" customHeight="1" x14ac:dyDescent="0.2">
      <c r="C14" s="347" t="s">
        <v>1173</v>
      </c>
      <c r="E14" s="349"/>
    </row>
    <row r="15" spans="2:11" s="346" customFormat="1" ht="12.75" customHeight="1" x14ac:dyDescent="0.2">
      <c r="C15" s="347" t="s">
        <v>1174</v>
      </c>
      <c r="E15" s="349"/>
    </row>
    <row r="16" spans="2:11" s="346" customFormat="1" ht="12.75" customHeight="1" x14ac:dyDescent="0.2">
      <c r="C16" s="347" t="s">
        <v>1175</v>
      </c>
      <c r="E16" s="349"/>
    </row>
    <row r="17" spans="2:10" s="350" customFormat="1" ht="12.75" customHeight="1" x14ac:dyDescent="0.2">
      <c r="D17" s="351"/>
      <c r="E17" s="351"/>
      <c r="F17" s="351"/>
      <c r="G17" s="351"/>
      <c r="H17" s="351"/>
      <c r="I17" s="351"/>
      <c r="J17" s="351"/>
    </row>
    <row r="18" spans="2:10" s="346" customFormat="1" ht="12.75" customHeight="1" x14ac:dyDescent="0.2"/>
    <row r="19" spans="2:10" s="347" customFormat="1" ht="12.75" customHeight="1" x14ac:dyDescent="0.2">
      <c r="C19" s="352" t="s">
        <v>1176</v>
      </c>
      <c r="E19" s="353">
        <f>J36</f>
        <v>0</v>
      </c>
      <c r="I19" s="353"/>
      <c r="J19" s="353"/>
    </row>
    <row r="20" spans="2:10" s="346" customFormat="1" ht="12.75" customHeight="1" x14ac:dyDescent="0.2"/>
    <row r="21" spans="2:10" s="344" customFormat="1" ht="12.75" customHeight="1" x14ac:dyDescent="0.2"/>
    <row r="22" spans="2:10" s="344" customFormat="1" ht="12.75" customHeight="1" x14ac:dyDescent="0.2"/>
    <row r="23" spans="2:10" s="344" customFormat="1" ht="12.75" customHeight="1" x14ac:dyDescent="0.2"/>
    <row r="24" spans="2:10" s="346" customFormat="1" ht="12.75" customHeight="1" x14ac:dyDescent="0.2"/>
    <row r="25" spans="2:10" s="346" customFormat="1" ht="12.75" customHeight="1" x14ac:dyDescent="0.2">
      <c r="B25" s="345" t="s">
        <v>1177</v>
      </c>
      <c r="C25" s="345"/>
      <c r="D25" s="345"/>
      <c r="E25" s="345"/>
      <c r="F25" s="345"/>
      <c r="G25" s="345"/>
      <c r="H25" s="345"/>
      <c r="I25" s="345"/>
      <c r="J25" s="345"/>
    </row>
    <row r="26" spans="2:10" s="346" customFormat="1" ht="12.75" customHeight="1" x14ac:dyDescent="0.2">
      <c r="B26" s="347"/>
    </row>
    <row r="27" spans="2:10" s="346" customFormat="1" ht="12.75" customHeight="1" x14ac:dyDescent="0.2">
      <c r="B27" s="347"/>
      <c r="C27" s="347" t="s">
        <v>24</v>
      </c>
      <c r="E27" s="348" t="s">
        <v>1162</v>
      </c>
    </row>
    <row r="28" spans="2:10" s="346" customFormat="1" ht="12.75" customHeight="1" x14ac:dyDescent="0.2">
      <c r="B28" s="347"/>
      <c r="C28" s="347"/>
    </row>
    <row r="29" spans="2:10" s="346" customFormat="1" ht="12.75" customHeight="1" x14ac:dyDescent="0.2">
      <c r="B29" s="347"/>
      <c r="C29" s="347" t="s">
        <v>1163</v>
      </c>
      <c r="E29" s="346" t="str">
        <f>E5</f>
        <v>Elektroinstalace – silnoproud</v>
      </c>
    </row>
    <row r="30" spans="2:10" s="346" customFormat="1" ht="12.75" customHeight="1" x14ac:dyDescent="0.2">
      <c r="B30" s="347"/>
      <c r="C30" s="347" t="s">
        <v>1165</v>
      </c>
      <c r="E30" s="346" t="str">
        <f>E6</f>
        <v>Pavilon 3 - ZŠ Smolkova, Praha 12</v>
      </c>
    </row>
    <row r="31" spans="2:10" s="346" customFormat="1" ht="12.75" customHeight="1" x14ac:dyDescent="0.2">
      <c r="B31" s="347"/>
      <c r="C31" s="347" t="s">
        <v>1167</v>
      </c>
      <c r="E31" s="346" t="str">
        <f>E7</f>
        <v>Jiří Flosman</v>
      </c>
    </row>
    <row r="32" spans="2:10" s="346" customFormat="1" ht="12.75" customHeight="1" x14ac:dyDescent="0.2">
      <c r="B32" s="347"/>
      <c r="C32" s="347" t="s">
        <v>1169</v>
      </c>
      <c r="E32" s="346" t="str">
        <f>E8</f>
        <v>Jiří Flosman</v>
      </c>
    </row>
    <row r="33" spans="2:37" s="346" customFormat="1" ht="12.75" customHeight="1" x14ac:dyDescent="0.2">
      <c r="E33" s="347"/>
      <c r="J33" s="347"/>
    </row>
    <row r="34" spans="2:37" s="346" customFormat="1" ht="12.75" customHeight="1" x14ac:dyDescent="0.2">
      <c r="E34" s="347"/>
      <c r="J34" s="347"/>
    </row>
    <row r="35" spans="2:37" s="346" customFormat="1" ht="12.75" customHeight="1" x14ac:dyDescent="0.2">
      <c r="E35" s="347"/>
      <c r="J35" s="347"/>
    </row>
    <row r="36" spans="2:37" s="346" customFormat="1" ht="12.75" customHeight="1" x14ac:dyDescent="0.2">
      <c r="B36" s="347"/>
      <c r="C36" s="352" t="s">
        <v>1178</v>
      </c>
      <c r="J36" s="354">
        <f>SUM(J37:J47)</f>
        <v>0</v>
      </c>
      <c r="AK36" s="346" t="s">
        <v>1179</v>
      </c>
    </row>
    <row r="37" spans="2:37" s="346" customFormat="1" ht="21.2" customHeight="1" x14ac:dyDescent="0.2">
      <c r="B37" s="347"/>
      <c r="C37" s="347" t="str">
        <f>B75</f>
        <v>Rozvody 1.NP</v>
      </c>
      <c r="J37" s="353">
        <f>J75</f>
        <v>0</v>
      </c>
    </row>
    <row r="38" spans="2:37" s="346" customFormat="1" ht="21.2" customHeight="1" x14ac:dyDescent="0.2">
      <c r="B38" s="347"/>
      <c r="C38" s="347" t="str">
        <f>B80</f>
        <v>Rozvody 2.NP</v>
      </c>
      <c r="J38" s="353">
        <f>J80</f>
        <v>0</v>
      </c>
    </row>
    <row r="39" spans="2:37" s="346" customFormat="1" ht="21.2" customHeight="1" x14ac:dyDescent="0.2">
      <c r="B39" s="347"/>
      <c r="C39" s="347" t="str">
        <f>B85</f>
        <v>Rozvody 3.NP</v>
      </c>
      <c r="J39" s="353">
        <f>J85</f>
        <v>0</v>
      </c>
    </row>
    <row r="40" spans="2:37" s="346" customFormat="1" ht="21.2" customHeight="1" x14ac:dyDescent="0.2">
      <c r="B40" s="347"/>
      <c r="C40" s="347" t="str">
        <f>B90</f>
        <v>Rozvaděčová technika</v>
      </c>
      <c r="J40" s="353">
        <f>J90</f>
        <v>0</v>
      </c>
    </row>
    <row r="41" spans="2:37" s="346" customFormat="1" ht="21.2" customHeight="1" x14ac:dyDescent="0.2">
      <c r="B41" s="347"/>
      <c r="C41" s="347" t="str">
        <f>B103</f>
        <v>Elektrické přístroje silnoproud 1.NP</v>
      </c>
      <c r="J41" s="353">
        <f>J103</f>
        <v>0</v>
      </c>
    </row>
    <row r="42" spans="2:37" s="346" customFormat="1" ht="21.2" customHeight="1" x14ac:dyDescent="0.2">
      <c r="B42" s="347"/>
      <c r="C42" s="347" t="str">
        <f>B110</f>
        <v>Elektrické přístroje silnoproud 2.NP</v>
      </c>
      <c r="J42" s="353">
        <f>J110</f>
        <v>0</v>
      </c>
    </row>
    <row r="43" spans="2:37" s="346" customFormat="1" ht="21.2" customHeight="1" x14ac:dyDescent="0.2">
      <c r="B43" s="347"/>
      <c r="C43" s="347" t="str">
        <f>B117</f>
        <v>Elektrické přístroje silnoproud 3.NP</v>
      </c>
      <c r="J43" s="353">
        <f>J117</f>
        <v>0</v>
      </c>
    </row>
    <row r="44" spans="2:37" s="346" customFormat="1" ht="21" customHeight="1" x14ac:dyDescent="0.2">
      <c r="C44" s="347" t="str">
        <f>B124</f>
        <v>Osvětlení 1NP</v>
      </c>
      <c r="D44" s="347"/>
      <c r="J44" s="353">
        <f>J124</f>
        <v>0</v>
      </c>
    </row>
    <row r="45" spans="2:37" s="346" customFormat="1" ht="21" customHeight="1" x14ac:dyDescent="0.2">
      <c r="C45" s="347" t="str">
        <f>B129</f>
        <v>Osvětlení 2NP</v>
      </c>
      <c r="D45" s="347"/>
      <c r="J45" s="353">
        <f>J129</f>
        <v>0</v>
      </c>
    </row>
    <row r="46" spans="2:37" s="346" customFormat="1" ht="21" customHeight="1" x14ac:dyDescent="0.2">
      <c r="C46" s="347" t="str">
        <f>B134</f>
        <v>Osvětlení 3NP</v>
      </c>
      <c r="D46" s="347"/>
      <c r="J46" s="353">
        <f>J134</f>
        <v>0</v>
      </c>
    </row>
    <row r="47" spans="2:37" s="346" customFormat="1" ht="21" customHeight="1" x14ac:dyDescent="0.2">
      <c r="C47" s="347" t="str">
        <f>B139</f>
        <v>Montážní a inženýrská činnost</v>
      </c>
      <c r="D47" s="347"/>
      <c r="J47" s="353">
        <f>J139</f>
        <v>0</v>
      </c>
    </row>
    <row r="48" spans="2:37" s="346" customFormat="1" ht="21" customHeight="1" x14ac:dyDescent="0.2">
      <c r="C48" s="347"/>
      <c r="D48" s="347"/>
      <c r="J48" s="353"/>
    </row>
    <row r="49" spans="2:10" s="346" customFormat="1" ht="21" customHeight="1" x14ac:dyDescent="0.2">
      <c r="C49" s="347"/>
      <c r="D49" s="347"/>
      <c r="J49" s="353"/>
    </row>
    <row r="50" spans="2:10" s="346" customFormat="1" ht="21" customHeight="1" x14ac:dyDescent="0.2">
      <c r="C50" s="347"/>
      <c r="D50" s="347"/>
      <c r="J50" s="353"/>
    </row>
    <row r="51" spans="2:10" s="346" customFormat="1" ht="21" customHeight="1" x14ac:dyDescent="0.2">
      <c r="C51" s="347"/>
      <c r="D51" s="347"/>
      <c r="J51" s="355"/>
    </row>
    <row r="53" spans="2:10" s="346" customFormat="1" ht="7.5" customHeight="1" x14ac:dyDescent="0.2"/>
    <row r="54" spans="2:10" s="346" customFormat="1" ht="37.5" customHeight="1" x14ac:dyDescent="0.2">
      <c r="B54" s="345" t="s">
        <v>1180</v>
      </c>
      <c r="C54" s="345"/>
      <c r="D54" s="345"/>
      <c r="E54" s="345"/>
      <c r="F54" s="345"/>
      <c r="G54" s="345"/>
      <c r="H54" s="345"/>
      <c r="I54" s="345"/>
      <c r="J54" s="345"/>
    </row>
    <row r="55" spans="2:10" s="346" customFormat="1" ht="7.5" customHeight="1" x14ac:dyDescent="0.2"/>
    <row r="56" spans="2:10" s="346" customFormat="1" ht="15" customHeight="1" x14ac:dyDescent="0.2">
      <c r="B56" s="347"/>
      <c r="C56" s="347" t="s">
        <v>24</v>
      </c>
      <c r="E56" s="346" t="str">
        <f t="shared" ref="E56:E61" si="0">E27</f>
        <v xml:space="preserve">Rekonstrukce stoupaček a odpadů </v>
      </c>
    </row>
    <row r="57" spans="2:10" s="346" customFormat="1" ht="15" customHeight="1" x14ac:dyDescent="0.2">
      <c r="B57" s="347"/>
      <c r="C57" s="347"/>
      <c r="E57" s="346">
        <f t="shared" si="0"/>
        <v>0</v>
      </c>
    </row>
    <row r="58" spans="2:10" s="346" customFormat="1" ht="15" customHeight="1" x14ac:dyDescent="0.2">
      <c r="B58" s="347"/>
      <c r="C58" s="347" t="s">
        <v>1163</v>
      </c>
      <c r="E58" s="346" t="str">
        <f t="shared" si="0"/>
        <v>Elektroinstalace – silnoproud</v>
      </c>
    </row>
    <row r="59" spans="2:10" s="346" customFormat="1" ht="15" customHeight="1" x14ac:dyDescent="0.2">
      <c r="B59" s="347"/>
      <c r="C59" s="347" t="s">
        <v>1165</v>
      </c>
      <c r="E59" s="346" t="str">
        <f t="shared" si="0"/>
        <v>Pavilon 3 - ZŠ Smolkova, Praha 12</v>
      </c>
    </row>
    <row r="60" spans="2:10" s="346" customFormat="1" ht="18.75" customHeight="1" x14ac:dyDescent="0.2">
      <c r="B60" s="347"/>
      <c r="C60" s="347" t="s">
        <v>1167</v>
      </c>
      <c r="E60" s="346" t="str">
        <f t="shared" si="0"/>
        <v>Jiří Flosman</v>
      </c>
    </row>
    <row r="61" spans="2:10" s="346" customFormat="1" ht="15.75" customHeight="1" x14ac:dyDescent="0.2">
      <c r="B61" s="347"/>
      <c r="C61" s="347" t="s">
        <v>1169</v>
      </c>
      <c r="E61" s="346" t="str">
        <f t="shared" si="0"/>
        <v>Jiří Flosman</v>
      </c>
    </row>
    <row r="62" spans="2:10" s="346" customFormat="1" ht="13.9" customHeight="1" x14ac:dyDescent="0.2">
      <c r="B62" s="347"/>
      <c r="C62" s="347" t="s">
        <v>1181</v>
      </c>
      <c r="E62" s="352"/>
      <c r="I62" s="347"/>
      <c r="J62" s="347"/>
    </row>
    <row r="63" spans="2:10" s="346" customFormat="1" ht="13.9" customHeight="1" x14ac:dyDescent="0.2">
      <c r="B63" s="347"/>
      <c r="C63" s="347"/>
      <c r="E63" s="352"/>
      <c r="I63" s="347"/>
      <c r="J63" s="347"/>
    </row>
    <row r="64" spans="2:10" s="346" customFormat="1" ht="13.9" customHeight="1" x14ac:dyDescent="0.2">
      <c r="B64" s="347"/>
      <c r="C64" s="347"/>
      <c r="E64" s="347"/>
      <c r="J64" s="347"/>
    </row>
    <row r="65" spans="2:55" s="357" customFormat="1" ht="13.9" customHeight="1" x14ac:dyDescent="0.2">
      <c r="B65" s="356"/>
      <c r="C65" s="356"/>
      <c r="J65" s="356"/>
    </row>
    <row r="66" spans="2:55" s="357" customFormat="1" ht="13.9" customHeight="1" x14ac:dyDescent="0.2">
      <c r="B66" s="356"/>
      <c r="C66" s="356"/>
      <c r="J66" s="356"/>
    </row>
    <row r="67" spans="2:55" s="357" customFormat="1" ht="13.9" customHeight="1" x14ac:dyDescent="0.2">
      <c r="B67" s="356"/>
      <c r="C67" s="356"/>
      <c r="J67" s="356"/>
    </row>
    <row r="68" spans="2:55" s="357" customFormat="1" ht="13.9" customHeight="1" x14ac:dyDescent="0.2">
      <c r="B68" s="356"/>
      <c r="C68" s="356"/>
      <c r="J68" s="356"/>
    </row>
    <row r="69" spans="2:55" s="357" customFormat="1" ht="13.9" customHeight="1" x14ac:dyDescent="0.2">
      <c r="B69" s="356"/>
      <c r="C69" s="356"/>
      <c r="E69" s="347"/>
      <c r="J69" s="356"/>
    </row>
    <row r="70" spans="2:55" s="357" customFormat="1" ht="13.9" customHeight="1" x14ac:dyDescent="0.2">
      <c r="B70" s="356"/>
      <c r="C70" s="356"/>
      <c r="J70" s="356"/>
    </row>
    <row r="71" spans="2:55" s="357" customFormat="1" ht="13.9" customHeight="1" x14ac:dyDescent="0.2">
      <c r="B71" s="356"/>
      <c r="C71" s="356"/>
      <c r="E71" s="358"/>
      <c r="F71" s="359"/>
      <c r="J71" s="356"/>
    </row>
    <row r="72" spans="2:55" s="346" customFormat="1" ht="30" customHeight="1" x14ac:dyDescent="0.2">
      <c r="B72" s="347"/>
      <c r="C72" s="347" t="s">
        <v>1178</v>
      </c>
      <c r="J72" s="360">
        <f>J75+J80+J85+J90+J103+J110+J117+J124+J129+J134+J139</f>
        <v>0</v>
      </c>
      <c r="N72" s="361">
        <f>$BT$71</f>
        <v>0</v>
      </c>
      <c r="P72" s="361">
        <f>$BT$71</f>
        <v>0</v>
      </c>
      <c r="AJ72" s="346" t="s">
        <v>495</v>
      </c>
      <c r="AK72" s="346" t="s">
        <v>1179</v>
      </c>
      <c r="BA72" s="353">
        <f>$BT$71</f>
        <v>0</v>
      </c>
    </row>
    <row r="73" spans="2:55" s="346" customFormat="1" ht="21.95" customHeight="1" x14ac:dyDescent="0.2">
      <c r="B73" s="347"/>
      <c r="J73" s="360"/>
      <c r="N73" s="361"/>
      <c r="P73" s="361"/>
      <c r="BA73" s="353"/>
    </row>
    <row r="74" spans="2:55" s="347" customFormat="1" ht="36" customHeight="1" x14ac:dyDescent="0.2">
      <c r="B74" s="347" t="s">
        <v>1182</v>
      </c>
      <c r="C74" s="347" t="s">
        <v>1183</v>
      </c>
      <c r="D74" s="362" t="s">
        <v>1184</v>
      </c>
      <c r="E74" s="363" t="s">
        <v>1185</v>
      </c>
      <c r="F74" s="363" t="s">
        <v>1186</v>
      </c>
      <c r="G74" s="364" t="s">
        <v>915</v>
      </c>
      <c r="H74" s="353" t="s">
        <v>1187</v>
      </c>
      <c r="I74" s="347" t="s">
        <v>1188</v>
      </c>
      <c r="J74" s="363" t="s">
        <v>1189</v>
      </c>
      <c r="K74" s="363" t="s">
        <v>1190</v>
      </c>
      <c r="L74" s="363" t="s">
        <v>124</v>
      </c>
      <c r="M74" s="347" t="s">
        <v>1191</v>
      </c>
      <c r="N74" s="347" t="s">
        <v>1192</v>
      </c>
      <c r="O74" s="365" t="s">
        <v>1193</v>
      </c>
      <c r="P74" s="365" t="s">
        <v>1194</v>
      </c>
      <c r="Q74" s="365" t="s">
        <v>1195</v>
      </c>
      <c r="AH74" s="363"/>
      <c r="AJ74" s="363"/>
      <c r="AK74" s="363"/>
      <c r="AU74" s="353"/>
      <c r="AV74" s="353"/>
      <c r="AW74" s="353"/>
      <c r="AX74" s="353"/>
      <c r="AY74" s="353"/>
      <c r="AZ74" s="363"/>
      <c r="BA74" s="353"/>
      <c r="BB74" s="363"/>
      <c r="BC74" s="363"/>
    </row>
    <row r="75" spans="2:55" s="369" customFormat="1" ht="21" customHeight="1" x14ac:dyDescent="0.2">
      <c r="B75" s="366" t="s">
        <v>1196</v>
      </c>
      <c r="C75" s="366"/>
      <c r="D75" s="367"/>
      <c r="E75" s="367"/>
      <c r="F75" s="367"/>
      <c r="G75" s="367"/>
      <c r="H75" s="367"/>
      <c r="I75" s="367"/>
      <c r="J75" s="368">
        <f>SUM(J76:J78)</f>
        <v>0</v>
      </c>
      <c r="N75" s="361" t="e">
        <f>SUM(#REF!)</f>
        <v>#REF!</v>
      </c>
      <c r="P75" s="361" t="e">
        <f>SUM(#REF!)</f>
        <v>#REF!</v>
      </c>
      <c r="AH75" s="369" t="s">
        <v>354</v>
      </c>
      <c r="AJ75" s="369" t="s">
        <v>495</v>
      </c>
      <c r="AK75" s="369" t="s">
        <v>354</v>
      </c>
      <c r="AO75" s="369" t="s">
        <v>1197</v>
      </c>
      <c r="BA75" s="355" t="e">
        <f>SUM(#REF!)</f>
        <v>#REF!</v>
      </c>
    </row>
    <row r="76" spans="2:55" s="370" customFormat="1" ht="20.65" customHeight="1" x14ac:dyDescent="0.2">
      <c r="B76" s="370">
        <v>1</v>
      </c>
      <c r="C76" s="370" t="s">
        <v>934</v>
      </c>
      <c r="D76" s="371" t="s">
        <v>1198</v>
      </c>
      <c r="E76" s="372"/>
      <c r="F76" s="372" t="s">
        <v>375</v>
      </c>
      <c r="G76" s="373">
        <v>50</v>
      </c>
      <c r="H76" s="398"/>
      <c r="I76" s="399"/>
      <c r="J76" s="374">
        <f t="shared" ref="J76:J77" si="1">(G76*H76)+(G76*I76)</f>
        <v>0</v>
      </c>
      <c r="K76" s="375"/>
      <c r="L76" s="375"/>
      <c r="O76" s="376"/>
      <c r="P76" s="376"/>
      <c r="Q76" s="376"/>
      <c r="AH76" s="375"/>
      <c r="AJ76" s="375"/>
      <c r="AK76" s="375"/>
      <c r="AU76" s="374"/>
      <c r="AV76" s="374"/>
      <c r="AW76" s="374"/>
      <c r="AX76" s="374"/>
      <c r="AY76" s="374"/>
      <c r="AZ76" s="375"/>
      <c r="BA76" s="374"/>
      <c r="BB76" s="375"/>
      <c r="BC76" s="375"/>
    </row>
    <row r="77" spans="2:55" s="370" customFormat="1" ht="20.65" customHeight="1" x14ac:dyDescent="0.2">
      <c r="B77" s="370">
        <v>2</v>
      </c>
      <c r="C77" s="370" t="s">
        <v>934</v>
      </c>
      <c r="D77" s="371" t="s">
        <v>1199</v>
      </c>
      <c r="E77" s="372"/>
      <c r="F77" s="372" t="s">
        <v>375</v>
      </c>
      <c r="G77" s="373">
        <v>150</v>
      </c>
      <c r="H77" s="398"/>
      <c r="I77" s="399"/>
      <c r="J77" s="374">
        <f t="shared" si="1"/>
        <v>0</v>
      </c>
      <c r="K77" s="375"/>
      <c r="L77" s="375"/>
      <c r="O77" s="376"/>
      <c r="P77" s="376"/>
      <c r="Q77" s="376"/>
      <c r="AH77" s="375"/>
      <c r="AJ77" s="375"/>
      <c r="AK77" s="375"/>
      <c r="AU77" s="374"/>
      <c r="AV77" s="374"/>
      <c r="AW77" s="374"/>
      <c r="AX77" s="374"/>
      <c r="AY77" s="374"/>
      <c r="AZ77" s="375"/>
      <c r="BA77" s="374"/>
      <c r="BB77" s="375"/>
      <c r="BC77" s="375"/>
    </row>
    <row r="78" spans="2:55" s="370" customFormat="1" ht="20.85" customHeight="1" x14ac:dyDescent="0.2">
      <c r="B78" s="370">
        <v>3</v>
      </c>
      <c r="C78" s="370" t="s">
        <v>934</v>
      </c>
      <c r="D78" s="377" t="s">
        <v>1200</v>
      </c>
      <c r="E78" s="375"/>
      <c r="F78" s="375" t="s">
        <v>375</v>
      </c>
      <c r="G78" s="378">
        <v>50</v>
      </c>
      <c r="H78" s="399"/>
      <c r="I78" s="399"/>
      <c r="J78" s="374">
        <f>(G78*H78)+(G78*I78)</f>
        <v>0</v>
      </c>
      <c r="K78" s="375"/>
      <c r="L78" s="375"/>
      <c r="O78" s="376"/>
      <c r="P78" s="376"/>
      <c r="Q78" s="376"/>
      <c r="AH78" s="375"/>
      <c r="AJ78" s="375"/>
      <c r="AK78" s="375"/>
      <c r="AU78" s="374"/>
      <c r="AV78" s="374"/>
      <c r="AW78" s="374"/>
      <c r="AX78" s="374"/>
      <c r="AY78" s="374"/>
      <c r="AZ78" s="375"/>
      <c r="BA78" s="374"/>
      <c r="BB78" s="375"/>
      <c r="BC78" s="375"/>
    </row>
    <row r="79" spans="2:55" s="370" customFormat="1" ht="20.85" customHeight="1" x14ac:dyDescent="0.2">
      <c r="B79" s="370">
        <v>4</v>
      </c>
      <c r="C79" s="370" t="s">
        <v>934</v>
      </c>
      <c r="D79" s="377" t="s">
        <v>1201</v>
      </c>
      <c r="E79" s="375"/>
      <c r="F79" s="375" t="s">
        <v>375</v>
      </c>
      <c r="G79" s="378">
        <v>80</v>
      </c>
      <c r="H79" s="399"/>
      <c r="I79" s="399"/>
      <c r="J79" s="374">
        <f>(G79*H79)+(G79*I79)</f>
        <v>0</v>
      </c>
      <c r="K79" s="375"/>
      <c r="L79" s="375"/>
      <c r="O79" s="376"/>
      <c r="P79" s="376"/>
      <c r="Q79" s="376"/>
      <c r="AH79" s="375"/>
      <c r="AJ79" s="375"/>
      <c r="AK79" s="375"/>
      <c r="AU79" s="374"/>
      <c r="AV79" s="374"/>
      <c r="AW79" s="374"/>
      <c r="AX79" s="374"/>
      <c r="AY79" s="374"/>
      <c r="AZ79" s="375"/>
      <c r="BA79" s="374"/>
      <c r="BB79" s="375"/>
      <c r="BC79" s="375"/>
    </row>
    <row r="80" spans="2:55" s="369" customFormat="1" ht="21" customHeight="1" x14ac:dyDescent="0.2">
      <c r="B80" s="366" t="s">
        <v>1202</v>
      </c>
      <c r="C80" s="366"/>
      <c r="D80" s="367"/>
      <c r="E80" s="367"/>
      <c r="F80" s="367"/>
      <c r="G80" s="367"/>
      <c r="H80" s="400"/>
      <c r="I80" s="400"/>
      <c r="J80" s="368">
        <f>SUM(J81:J84)</f>
        <v>0</v>
      </c>
      <c r="N80" s="361" t="e">
        <f>SUM(#REF!)</f>
        <v>#REF!</v>
      </c>
      <c r="P80" s="361" t="e">
        <f>SUM(#REF!)</f>
        <v>#REF!</v>
      </c>
      <c r="S80" s="370"/>
      <c r="AH80" s="369" t="s">
        <v>354</v>
      </c>
      <c r="AJ80" s="369" t="s">
        <v>495</v>
      </c>
      <c r="AK80" s="369" t="s">
        <v>354</v>
      </c>
      <c r="AO80" s="369" t="s">
        <v>1197</v>
      </c>
      <c r="BA80" s="355" t="e">
        <f>SUM(#REF!)</f>
        <v>#REF!</v>
      </c>
    </row>
    <row r="81" spans="2:55" s="370" customFormat="1" ht="20.65" customHeight="1" x14ac:dyDescent="0.2">
      <c r="B81" s="370">
        <v>5</v>
      </c>
      <c r="C81" s="370" t="s">
        <v>934</v>
      </c>
      <c r="D81" s="371" t="s">
        <v>1198</v>
      </c>
      <c r="E81" s="372"/>
      <c r="F81" s="372" t="s">
        <v>375</v>
      </c>
      <c r="G81" s="373">
        <v>50</v>
      </c>
      <c r="H81" s="401"/>
      <c r="I81" s="399"/>
      <c r="J81" s="374">
        <f>(G81*H81)+(G81*I81)</f>
        <v>0</v>
      </c>
      <c r="K81" s="375"/>
      <c r="L81" s="375"/>
      <c r="O81" s="376"/>
      <c r="P81" s="376"/>
      <c r="Q81" s="376"/>
      <c r="AH81" s="375"/>
      <c r="AJ81" s="375"/>
      <c r="AK81" s="375"/>
      <c r="AU81" s="374"/>
      <c r="AV81" s="374"/>
      <c r="AW81" s="374"/>
      <c r="AX81" s="374"/>
      <c r="AY81" s="374"/>
      <c r="AZ81" s="375"/>
      <c r="BA81" s="374"/>
      <c r="BB81" s="375"/>
      <c r="BC81" s="375"/>
    </row>
    <row r="82" spans="2:55" s="370" customFormat="1" ht="20.65" customHeight="1" x14ac:dyDescent="0.2">
      <c r="B82" s="370">
        <v>6</v>
      </c>
      <c r="C82" s="370" t="s">
        <v>934</v>
      </c>
      <c r="D82" s="371" t="s">
        <v>1199</v>
      </c>
      <c r="E82" s="372"/>
      <c r="F82" s="372" t="s">
        <v>375</v>
      </c>
      <c r="G82" s="373">
        <v>150</v>
      </c>
      <c r="H82" s="398"/>
      <c r="I82" s="399"/>
      <c r="J82" s="374">
        <f>(G82*H82)+(G82*I82)</f>
        <v>0</v>
      </c>
      <c r="K82" s="375"/>
      <c r="L82" s="375"/>
      <c r="O82" s="376"/>
      <c r="P82" s="376"/>
      <c r="Q82" s="376"/>
      <c r="AH82" s="375"/>
      <c r="AJ82" s="375"/>
      <c r="AK82" s="375"/>
      <c r="AU82" s="374"/>
      <c r="AV82" s="374"/>
      <c r="AW82" s="374"/>
      <c r="AX82" s="374"/>
      <c r="AY82" s="374"/>
      <c r="AZ82" s="375"/>
      <c r="BA82" s="374"/>
      <c r="BB82" s="375"/>
      <c r="BC82" s="375"/>
    </row>
    <row r="83" spans="2:55" s="370" customFormat="1" ht="20.65" customHeight="1" x14ac:dyDescent="0.2">
      <c r="B83" s="370">
        <v>7</v>
      </c>
      <c r="C83" s="370" t="s">
        <v>934</v>
      </c>
      <c r="D83" s="377" t="s">
        <v>1200</v>
      </c>
      <c r="E83" s="375"/>
      <c r="F83" s="375" t="s">
        <v>375</v>
      </c>
      <c r="G83" s="378">
        <v>50</v>
      </c>
      <c r="H83" s="399"/>
      <c r="I83" s="399"/>
      <c r="J83" s="374">
        <f>(G83*H83)+(G83*I83)</f>
        <v>0</v>
      </c>
      <c r="K83" s="375"/>
      <c r="L83" s="375"/>
      <c r="O83" s="376"/>
      <c r="P83" s="376"/>
      <c r="Q83" s="376"/>
      <c r="AH83" s="375"/>
      <c r="AJ83" s="375"/>
      <c r="AK83" s="375"/>
      <c r="AU83" s="374"/>
      <c r="AV83" s="374"/>
      <c r="AW83" s="374"/>
      <c r="AX83" s="374"/>
      <c r="AY83" s="374"/>
      <c r="AZ83" s="375"/>
      <c r="BA83" s="374"/>
      <c r="BB83" s="375"/>
      <c r="BC83" s="375"/>
    </row>
    <row r="84" spans="2:55" s="370" customFormat="1" ht="20.85" customHeight="1" x14ac:dyDescent="0.2">
      <c r="B84" s="370">
        <v>8</v>
      </c>
      <c r="C84" s="370" t="s">
        <v>934</v>
      </c>
      <c r="D84" s="377" t="s">
        <v>1201</v>
      </c>
      <c r="E84" s="375"/>
      <c r="F84" s="375" t="s">
        <v>375</v>
      </c>
      <c r="G84" s="378">
        <v>80</v>
      </c>
      <c r="H84" s="399"/>
      <c r="I84" s="399"/>
      <c r="J84" s="374">
        <f>(G84*H84)+(G84*I84)</f>
        <v>0</v>
      </c>
      <c r="K84" s="375"/>
      <c r="L84" s="375"/>
      <c r="O84" s="376"/>
      <c r="P84" s="376"/>
      <c r="Q84" s="376"/>
      <c r="AH84" s="375"/>
      <c r="AJ84" s="375"/>
      <c r="AK84" s="375"/>
      <c r="AU84" s="374"/>
      <c r="AV84" s="374"/>
      <c r="AW84" s="374"/>
      <c r="AX84" s="374"/>
      <c r="AY84" s="374"/>
      <c r="AZ84" s="375"/>
      <c r="BA84" s="374"/>
      <c r="BB84" s="375"/>
      <c r="BC84" s="375"/>
    </row>
    <row r="85" spans="2:55" s="369" customFormat="1" ht="21" customHeight="1" x14ac:dyDescent="0.2">
      <c r="B85" s="379" t="s">
        <v>1203</v>
      </c>
      <c r="C85" s="379"/>
      <c r="D85" s="380"/>
      <c r="E85" s="380"/>
      <c r="F85" s="380"/>
      <c r="G85" s="380"/>
      <c r="H85" s="402"/>
      <c r="I85" s="402"/>
      <c r="J85" s="381">
        <f>SUM(J86:J89)</f>
        <v>0</v>
      </c>
      <c r="N85" s="361" t="e">
        <f>SUM(#REF!)</f>
        <v>#REF!</v>
      </c>
      <c r="P85" s="361" t="e">
        <f>SUM(#REF!)</f>
        <v>#REF!</v>
      </c>
      <c r="S85" s="370"/>
      <c r="AH85" s="369" t="s">
        <v>354</v>
      </c>
      <c r="AJ85" s="369" t="s">
        <v>495</v>
      </c>
      <c r="AK85" s="369" t="s">
        <v>354</v>
      </c>
      <c r="AO85" s="369" t="s">
        <v>1197</v>
      </c>
      <c r="BA85" s="355" t="e">
        <f>SUM(#REF!)</f>
        <v>#REF!</v>
      </c>
    </row>
    <row r="86" spans="2:55" s="370" customFormat="1" ht="20.65" customHeight="1" x14ac:dyDescent="0.2">
      <c r="B86" s="370">
        <v>9</v>
      </c>
      <c r="C86" s="370" t="s">
        <v>934</v>
      </c>
      <c r="D86" s="371" t="s">
        <v>1198</v>
      </c>
      <c r="E86" s="372"/>
      <c r="F86" s="372" t="s">
        <v>375</v>
      </c>
      <c r="G86" s="373">
        <v>50</v>
      </c>
      <c r="H86" s="398"/>
      <c r="I86" s="399"/>
      <c r="J86" s="374">
        <f t="shared" ref="J86:J87" si="2">(G86*H86)+(G86*I86)</f>
        <v>0</v>
      </c>
      <c r="K86" s="382">
        <f>(G86*H86)+(G86*J86)</f>
        <v>0</v>
      </c>
      <c r="L86" s="375"/>
      <c r="O86" s="376"/>
      <c r="P86" s="376"/>
      <c r="Q86" s="376"/>
      <c r="AH86" s="375"/>
      <c r="AJ86" s="375"/>
      <c r="AK86" s="375"/>
      <c r="AU86" s="374"/>
      <c r="AV86" s="374"/>
      <c r="AW86" s="374"/>
      <c r="AX86" s="374"/>
      <c r="AY86" s="374"/>
      <c r="AZ86" s="375"/>
      <c r="BA86" s="374"/>
      <c r="BB86" s="375"/>
      <c r="BC86" s="375"/>
    </row>
    <row r="87" spans="2:55" s="370" customFormat="1" ht="20.65" customHeight="1" x14ac:dyDescent="0.2">
      <c r="B87" s="370">
        <v>10</v>
      </c>
      <c r="C87" s="370" t="s">
        <v>934</v>
      </c>
      <c r="D87" s="371" t="s">
        <v>1199</v>
      </c>
      <c r="E87" s="372"/>
      <c r="F87" s="372" t="s">
        <v>375</v>
      </c>
      <c r="G87" s="373">
        <v>150</v>
      </c>
      <c r="H87" s="398"/>
      <c r="I87" s="399"/>
      <c r="J87" s="374">
        <f t="shared" si="2"/>
        <v>0</v>
      </c>
      <c r="K87" s="382">
        <f>(G87*H87)+(G87*J87)</f>
        <v>0</v>
      </c>
      <c r="L87" s="375"/>
      <c r="O87" s="376"/>
      <c r="P87" s="376"/>
      <c r="Q87" s="376"/>
      <c r="AH87" s="375"/>
      <c r="AJ87" s="375"/>
      <c r="AK87" s="375"/>
      <c r="AU87" s="374"/>
      <c r="AV87" s="374"/>
      <c r="AW87" s="374"/>
      <c r="AX87" s="374"/>
      <c r="AY87" s="374"/>
      <c r="AZ87" s="375"/>
      <c r="BA87" s="374"/>
      <c r="BB87" s="375"/>
      <c r="BC87" s="375"/>
    </row>
    <row r="88" spans="2:55" s="370" customFormat="1" ht="20.65" customHeight="1" x14ac:dyDescent="0.2">
      <c r="B88" s="370">
        <v>11</v>
      </c>
      <c r="C88" s="370" t="s">
        <v>934</v>
      </c>
      <c r="D88" s="377" t="s">
        <v>1200</v>
      </c>
      <c r="E88" s="375"/>
      <c r="F88" s="375" t="s">
        <v>375</v>
      </c>
      <c r="G88" s="378">
        <v>50</v>
      </c>
      <c r="H88" s="399"/>
      <c r="I88" s="399"/>
      <c r="J88" s="374">
        <f>(G88*H88)+(G88*I88)</f>
        <v>0</v>
      </c>
      <c r="K88" s="375"/>
      <c r="L88" s="375"/>
      <c r="O88" s="376"/>
      <c r="P88" s="376"/>
      <c r="Q88" s="376"/>
      <c r="AH88" s="375"/>
      <c r="AJ88" s="375"/>
      <c r="AK88" s="375"/>
      <c r="AU88" s="374"/>
      <c r="AV88" s="374"/>
      <c r="AW88" s="374"/>
      <c r="AX88" s="374"/>
      <c r="AY88" s="374"/>
      <c r="AZ88" s="375"/>
      <c r="BA88" s="374"/>
      <c r="BB88" s="375"/>
      <c r="BC88" s="375"/>
    </row>
    <row r="89" spans="2:55" s="370" customFormat="1" ht="20.85" customHeight="1" x14ac:dyDescent="0.2">
      <c r="B89" s="370">
        <v>12</v>
      </c>
      <c r="C89" s="370" t="s">
        <v>934</v>
      </c>
      <c r="D89" s="377" t="s">
        <v>1201</v>
      </c>
      <c r="E89" s="375"/>
      <c r="F89" s="375" t="s">
        <v>375</v>
      </c>
      <c r="G89" s="378">
        <v>80</v>
      </c>
      <c r="H89" s="399"/>
      <c r="I89" s="399"/>
      <c r="J89" s="374">
        <f>(G89*H89)+(G89*I89)</f>
        <v>0</v>
      </c>
      <c r="K89" s="375"/>
      <c r="L89" s="375"/>
      <c r="O89" s="376"/>
      <c r="P89" s="376"/>
      <c r="Q89" s="376"/>
      <c r="AH89" s="375"/>
      <c r="AJ89" s="375"/>
      <c r="AK89" s="375"/>
      <c r="AU89" s="374"/>
      <c r="AV89" s="374"/>
      <c r="AW89" s="374"/>
      <c r="AX89" s="374"/>
      <c r="AY89" s="374"/>
      <c r="AZ89" s="375"/>
      <c r="BA89" s="374"/>
      <c r="BB89" s="375"/>
      <c r="BC89" s="375"/>
    </row>
    <row r="90" spans="2:55" s="369" customFormat="1" ht="21" customHeight="1" x14ac:dyDescent="0.2">
      <c r="B90" s="366" t="s">
        <v>1204</v>
      </c>
      <c r="C90" s="366"/>
      <c r="D90" s="367"/>
      <c r="E90" s="367"/>
      <c r="F90" s="367"/>
      <c r="G90" s="367"/>
      <c r="H90" s="400"/>
      <c r="I90" s="400"/>
      <c r="J90" s="368">
        <f>SUM(J91:J102)</f>
        <v>0</v>
      </c>
      <c r="N90" s="361" t="e">
        <f>SUM(#REF!)</f>
        <v>#REF!</v>
      </c>
      <c r="P90" s="361" t="e">
        <f>SUM(#REF!)</f>
        <v>#REF!</v>
      </c>
      <c r="S90" s="370"/>
      <c r="AH90" s="369" t="s">
        <v>354</v>
      </c>
      <c r="AJ90" s="369" t="s">
        <v>495</v>
      </c>
      <c r="AK90" s="369" t="s">
        <v>354</v>
      </c>
      <c r="AO90" s="369" t="s">
        <v>1197</v>
      </c>
      <c r="BA90" s="355" t="e">
        <f>SUM(#REF!)</f>
        <v>#REF!</v>
      </c>
    </row>
    <row r="91" spans="2:55" s="369" customFormat="1" ht="21" customHeight="1" x14ac:dyDescent="0.2">
      <c r="B91" s="383" t="s">
        <v>1205</v>
      </c>
      <c r="C91" s="383"/>
      <c r="D91" s="384"/>
      <c r="E91" s="384"/>
      <c r="F91" s="384"/>
      <c r="G91" s="384"/>
      <c r="H91" s="403"/>
      <c r="I91" s="403"/>
      <c r="J91" s="385"/>
      <c r="N91" s="361"/>
      <c r="P91" s="361"/>
      <c r="S91" s="370"/>
      <c r="BA91" s="355"/>
    </row>
    <row r="92" spans="2:55" s="370" customFormat="1" ht="30" customHeight="1" x14ac:dyDescent="0.2">
      <c r="B92" s="370">
        <v>13</v>
      </c>
      <c r="C92" s="370" t="s">
        <v>1206</v>
      </c>
      <c r="D92" s="377" t="s">
        <v>1207</v>
      </c>
      <c r="E92" s="375"/>
      <c r="F92" s="375" t="s">
        <v>915</v>
      </c>
      <c r="G92" s="378">
        <v>2</v>
      </c>
      <c r="H92" s="399"/>
      <c r="I92" s="399"/>
      <c r="J92" s="374">
        <f>(G92*H92)+(G92*I92)</f>
        <v>0</v>
      </c>
      <c r="K92" s="375"/>
      <c r="L92" s="375"/>
      <c r="O92" s="376"/>
      <c r="P92" s="376"/>
      <c r="Q92" s="376"/>
      <c r="AH92" s="375"/>
      <c r="AJ92" s="375"/>
      <c r="AK92" s="375"/>
      <c r="AU92" s="374"/>
      <c r="AV92" s="374"/>
      <c r="AW92" s="374"/>
      <c r="AX92" s="374"/>
      <c r="AY92" s="374"/>
      <c r="AZ92" s="375"/>
      <c r="BA92" s="374"/>
      <c r="BB92" s="375"/>
      <c r="BC92" s="375"/>
    </row>
    <row r="93" spans="2:55" s="370" customFormat="1" ht="30" customHeight="1" x14ac:dyDescent="0.2">
      <c r="B93" s="370">
        <v>14</v>
      </c>
      <c r="C93" s="370" t="s">
        <v>1206</v>
      </c>
      <c r="D93" s="377" t="s">
        <v>1208</v>
      </c>
      <c r="E93" s="375"/>
      <c r="F93" s="375" t="s">
        <v>915</v>
      </c>
      <c r="G93" s="378">
        <v>1</v>
      </c>
      <c r="H93" s="399"/>
      <c r="I93" s="399"/>
      <c r="J93" s="374">
        <f>(G93*H93)+(G93*I93)</f>
        <v>0</v>
      </c>
      <c r="K93" s="375"/>
      <c r="L93" s="375"/>
      <c r="O93" s="376"/>
      <c r="P93" s="376"/>
      <c r="Q93" s="376"/>
      <c r="AH93" s="375"/>
      <c r="AJ93" s="375"/>
      <c r="AK93" s="375"/>
      <c r="AU93" s="374"/>
      <c r="AV93" s="374"/>
      <c r="AW93" s="374"/>
      <c r="AX93" s="374"/>
      <c r="AY93" s="374"/>
      <c r="AZ93" s="375"/>
      <c r="BA93" s="374"/>
      <c r="BB93" s="375"/>
      <c r="BC93" s="375"/>
    </row>
    <row r="94" spans="2:55" s="370" customFormat="1" ht="30" customHeight="1" x14ac:dyDescent="0.2">
      <c r="B94" s="370">
        <v>15</v>
      </c>
      <c r="C94" s="370" t="s">
        <v>1206</v>
      </c>
      <c r="D94" s="377" t="s">
        <v>1209</v>
      </c>
      <c r="E94" s="375"/>
      <c r="F94" s="375" t="s">
        <v>915</v>
      </c>
      <c r="G94" s="378">
        <v>2</v>
      </c>
      <c r="H94" s="399"/>
      <c r="I94" s="399"/>
      <c r="J94" s="374">
        <f>(G94*H94)+(G94*I94)</f>
        <v>0</v>
      </c>
      <c r="K94" s="375"/>
      <c r="L94" s="375"/>
      <c r="O94" s="376"/>
      <c r="P94" s="376"/>
      <c r="Q94" s="376"/>
      <c r="AH94" s="375"/>
      <c r="AJ94" s="375"/>
      <c r="AK94" s="375"/>
      <c r="AU94" s="374"/>
      <c r="AV94" s="374"/>
      <c r="AW94" s="374"/>
      <c r="AX94" s="374"/>
      <c r="AY94" s="374"/>
      <c r="AZ94" s="375"/>
      <c r="BA94" s="374"/>
      <c r="BB94" s="375"/>
      <c r="BC94" s="375"/>
    </row>
    <row r="95" spans="2:55" s="369" customFormat="1" ht="21" customHeight="1" x14ac:dyDescent="0.2">
      <c r="B95" s="383" t="s">
        <v>1210</v>
      </c>
      <c r="C95" s="383"/>
      <c r="D95" s="384"/>
      <c r="E95" s="384"/>
      <c r="F95" s="384"/>
      <c r="G95" s="384"/>
      <c r="H95" s="403"/>
      <c r="I95" s="403"/>
      <c r="J95" s="385"/>
      <c r="N95" s="361"/>
      <c r="P95" s="361"/>
      <c r="S95" s="370"/>
      <c r="BA95" s="355"/>
    </row>
    <row r="96" spans="2:55" s="370" customFormat="1" ht="30" customHeight="1" x14ac:dyDescent="0.2">
      <c r="B96" s="370">
        <v>16</v>
      </c>
      <c r="C96" s="370" t="s">
        <v>1206</v>
      </c>
      <c r="D96" s="377" t="s">
        <v>1207</v>
      </c>
      <c r="E96" s="375"/>
      <c r="F96" s="375" t="s">
        <v>915</v>
      </c>
      <c r="G96" s="378">
        <v>2</v>
      </c>
      <c r="H96" s="399"/>
      <c r="I96" s="399"/>
      <c r="J96" s="374">
        <f>(G96*H96)+(G96*I96)</f>
        <v>0</v>
      </c>
      <c r="K96" s="375"/>
      <c r="L96" s="375"/>
      <c r="O96" s="376"/>
      <c r="P96" s="376"/>
      <c r="Q96" s="376"/>
      <c r="AH96" s="375"/>
      <c r="AJ96" s="375"/>
      <c r="AK96" s="375"/>
      <c r="AU96" s="374"/>
      <c r="AV96" s="374"/>
      <c r="AW96" s="374"/>
      <c r="AX96" s="374"/>
      <c r="AY96" s="374"/>
      <c r="AZ96" s="375"/>
      <c r="BA96" s="374"/>
      <c r="BB96" s="375"/>
      <c r="BC96" s="375"/>
    </row>
    <row r="97" spans="2:55" s="370" customFormat="1" ht="30" customHeight="1" x14ac:dyDescent="0.2">
      <c r="B97" s="370">
        <v>17</v>
      </c>
      <c r="C97" s="370" t="s">
        <v>1206</v>
      </c>
      <c r="D97" s="377" t="s">
        <v>1208</v>
      </c>
      <c r="E97" s="375"/>
      <c r="F97" s="375" t="s">
        <v>915</v>
      </c>
      <c r="G97" s="378">
        <v>1</v>
      </c>
      <c r="H97" s="399"/>
      <c r="I97" s="399"/>
      <c r="J97" s="374">
        <f>(G97*H97)+(G97*I97)</f>
        <v>0</v>
      </c>
      <c r="K97" s="375"/>
      <c r="L97" s="375"/>
      <c r="O97" s="376"/>
      <c r="P97" s="376"/>
      <c r="Q97" s="376"/>
      <c r="AH97" s="375"/>
      <c r="AJ97" s="375"/>
      <c r="AK97" s="375"/>
      <c r="AU97" s="374"/>
      <c r="AV97" s="374"/>
      <c r="AW97" s="374"/>
      <c r="AX97" s="374"/>
      <c r="AY97" s="374"/>
      <c r="AZ97" s="375"/>
      <c r="BA97" s="374"/>
      <c r="BB97" s="375"/>
      <c r="BC97" s="375"/>
    </row>
    <row r="98" spans="2:55" s="370" customFormat="1" ht="30" customHeight="1" x14ac:dyDescent="0.2">
      <c r="B98" s="370">
        <v>18</v>
      </c>
      <c r="C98" s="370" t="s">
        <v>1206</v>
      </c>
      <c r="D98" s="377" t="s">
        <v>1209</v>
      </c>
      <c r="E98" s="375"/>
      <c r="F98" s="375" t="s">
        <v>915</v>
      </c>
      <c r="G98" s="378">
        <v>2</v>
      </c>
      <c r="H98" s="399"/>
      <c r="I98" s="399"/>
      <c r="J98" s="374">
        <f>(G98*H98)+(G98*I98)</f>
        <v>0</v>
      </c>
      <c r="K98" s="375"/>
      <c r="L98" s="375"/>
      <c r="O98" s="376"/>
      <c r="P98" s="376"/>
      <c r="Q98" s="376"/>
      <c r="AH98" s="375"/>
      <c r="AJ98" s="375"/>
      <c r="AK98" s="375"/>
      <c r="AU98" s="374"/>
      <c r="AV98" s="374"/>
      <c r="AW98" s="374"/>
      <c r="AX98" s="374"/>
      <c r="AY98" s="374"/>
      <c r="AZ98" s="375"/>
      <c r="BA98" s="374"/>
      <c r="BB98" s="375"/>
      <c r="BC98" s="375"/>
    </row>
    <row r="99" spans="2:55" s="369" customFormat="1" ht="21" customHeight="1" x14ac:dyDescent="0.2">
      <c r="B99" s="383" t="s">
        <v>1211</v>
      </c>
      <c r="C99" s="383"/>
      <c r="D99" s="384"/>
      <c r="E99" s="384"/>
      <c r="F99" s="384"/>
      <c r="G99" s="384"/>
      <c r="H99" s="403"/>
      <c r="I99" s="403"/>
      <c r="J99" s="385"/>
      <c r="N99" s="361"/>
      <c r="P99" s="361"/>
      <c r="S99" s="370"/>
      <c r="BA99" s="355"/>
    </row>
    <row r="100" spans="2:55" s="370" customFormat="1" ht="30" customHeight="1" x14ac:dyDescent="0.2">
      <c r="B100" s="370">
        <v>19</v>
      </c>
      <c r="C100" s="370" t="s">
        <v>1206</v>
      </c>
      <c r="D100" s="377" t="s">
        <v>1207</v>
      </c>
      <c r="E100" s="375"/>
      <c r="F100" s="375" t="s">
        <v>915</v>
      </c>
      <c r="G100" s="378">
        <v>2</v>
      </c>
      <c r="H100" s="399"/>
      <c r="I100" s="399"/>
      <c r="J100" s="374">
        <f>(G100*H100)+(G100*I100)</f>
        <v>0</v>
      </c>
      <c r="K100" s="375"/>
      <c r="L100" s="375"/>
      <c r="O100" s="376"/>
      <c r="P100" s="376"/>
      <c r="Q100" s="376"/>
      <c r="AH100" s="375"/>
      <c r="AJ100" s="375"/>
      <c r="AK100" s="375"/>
      <c r="AU100" s="374"/>
      <c r="AV100" s="374"/>
      <c r="AW100" s="374"/>
      <c r="AX100" s="374"/>
      <c r="AY100" s="374"/>
      <c r="AZ100" s="375"/>
      <c r="BA100" s="374"/>
      <c r="BB100" s="375"/>
      <c r="BC100" s="375"/>
    </row>
    <row r="101" spans="2:55" s="370" customFormat="1" ht="30" customHeight="1" x14ac:dyDescent="0.2">
      <c r="B101" s="370">
        <v>20</v>
      </c>
      <c r="C101" s="370" t="s">
        <v>1206</v>
      </c>
      <c r="D101" s="377" t="s">
        <v>1208</v>
      </c>
      <c r="E101" s="375"/>
      <c r="F101" s="375" t="s">
        <v>915</v>
      </c>
      <c r="G101" s="378">
        <v>1</v>
      </c>
      <c r="H101" s="399"/>
      <c r="I101" s="399"/>
      <c r="J101" s="374">
        <f>(G101*H101)+(G101*I101)</f>
        <v>0</v>
      </c>
      <c r="K101" s="375"/>
      <c r="L101" s="375"/>
      <c r="O101" s="376"/>
      <c r="P101" s="376"/>
      <c r="Q101" s="376"/>
      <c r="AH101" s="375"/>
      <c r="AJ101" s="375"/>
      <c r="AK101" s="375"/>
      <c r="AU101" s="374"/>
      <c r="AV101" s="374"/>
      <c r="AW101" s="374"/>
      <c r="AX101" s="374"/>
      <c r="AY101" s="374"/>
      <c r="AZ101" s="375"/>
      <c r="BA101" s="374"/>
      <c r="BB101" s="375"/>
      <c r="BC101" s="375"/>
    </row>
    <row r="102" spans="2:55" s="370" customFormat="1" ht="30" customHeight="1" x14ac:dyDescent="0.2">
      <c r="B102" s="370">
        <v>21</v>
      </c>
      <c r="C102" s="370" t="s">
        <v>1206</v>
      </c>
      <c r="D102" s="377" t="s">
        <v>1209</v>
      </c>
      <c r="E102" s="375"/>
      <c r="F102" s="375" t="s">
        <v>915</v>
      </c>
      <c r="G102" s="378">
        <v>2</v>
      </c>
      <c r="H102" s="399"/>
      <c r="I102" s="399"/>
      <c r="J102" s="374">
        <f>(G102*H102)+(G102*I102)</f>
        <v>0</v>
      </c>
      <c r="K102" s="375"/>
      <c r="L102" s="375"/>
      <c r="O102" s="376"/>
      <c r="P102" s="376"/>
      <c r="Q102" s="376"/>
      <c r="AH102" s="375"/>
      <c r="AJ102" s="375"/>
      <c r="AK102" s="375"/>
      <c r="AU102" s="374"/>
      <c r="AV102" s="374"/>
      <c r="AW102" s="374"/>
      <c r="AX102" s="374"/>
      <c r="AY102" s="374"/>
      <c r="AZ102" s="375"/>
      <c r="BA102" s="374"/>
      <c r="BB102" s="375"/>
      <c r="BC102" s="375"/>
    </row>
    <row r="103" spans="2:55" s="369" customFormat="1" ht="21" customHeight="1" x14ac:dyDescent="0.2">
      <c r="B103" s="366" t="s">
        <v>1212</v>
      </c>
      <c r="C103" s="366"/>
      <c r="D103" s="367"/>
      <c r="E103" s="367"/>
      <c r="F103" s="367"/>
      <c r="G103" s="367"/>
      <c r="H103" s="400"/>
      <c r="I103" s="400"/>
      <c r="J103" s="368">
        <f>SUM(J104:J109)</f>
        <v>0</v>
      </c>
      <c r="N103" s="361" t="e">
        <f>SUM(#REF!)</f>
        <v>#REF!</v>
      </c>
      <c r="P103" s="361" t="e">
        <f>SUM(#REF!)</f>
        <v>#REF!</v>
      </c>
      <c r="S103" s="370"/>
      <c r="AH103" s="369" t="s">
        <v>354</v>
      </c>
      <c r="AJ103" s="369" t="s">
        <v>495</v>
      </c>
      <c r="AK103" s="369" t="s">
        <v>354</v>
      </c>
      <c r="AO103" s="369" t="s">
        <v>1197</v>
      </c>
      <c r="BA103" s="355" t="e">
        <f>SUM(#REF!)</f>
        <v>#REF!</v>
      </c>
    </row>
    <row r="104" spans="2:55" s="386" customFormat="1" ht="27.6" customHeight="1" x14ac:dyDescent="0.2">
      <c r="B104" s="386">
        <v>22</v>
      </c>
      <c r="C104" s="386" t="s">
        <v>1206</v>
      </c>
      <c r="D104" s="387" t="s">
        <v>1213</v>
      </c>
      <c r="E104" s="388" t="s">
        <v>1214</v>
      </c>
      <c r="F104" s="388" t="s">
        <v>915</v>
      </c>
      <c r="G104" s="389">
        <v>2</v>
      </c>
      <c r="H104" s="404"/>
      <c r="I104" s="405"/>
      <c r="J104" s="390">
        <f t="shared" ref="J104:J109" si="3">(G104*H104)+(G104*I104)</f>
        <v>0</v>
      </c>
      <c r="K104" s="388">
        <v>69</v>
      </c>
      <c r="L104" s="388">
        <f>(G104*H104)+(G104*K104)</f>
        <v>138</v>
      </c>
      <c r="O104" s="391"/>
      <c r="P104" s="391"/>
      <c r="Q104" s="391"/>
      <c r="S104" s="370"/>
      <c r="AH104" s="388"/>
      <c r="AJ104" s="388"/>
      <c r="AK104" s="388"/>
      <c r="AU104" s="390"/>
      <c r="AV104" s="390"/>
      <c r="AW104" s="390"/>
      <c r="AX104" s="390"/>
      <c r="AY104" s="390"/>
      <c r="AZ104" s="388"/>
      <c r="BA104" s="390"/>
      <c r="BB104" s="388"/>
      <c r="BC104" s="388"/>
    </row>
    <row r="105" spans="2:55" s="386" customFormat="1" ht="27.6" customHeight="1" x14ac:dyDescent="0.2">
      <c r="B105" s="386">
        <v>23</v>
      </c>
      <c r="C105" s="386" t="s">
        <v>1206</v>
      </c>
      <c r="D105" s="387" t="s">
        <v>1215</v>
      </c>
      <c r="E105" s="388"/>
      <c r="F105" s="388" t="s">
        <v>915</v>
      </c>
      <c r="G105" s="389">
        <v>3</v>
      </c>
      <c r="H105" s="404"/>
      <c r="I105" s="405"/>
      <c r="J105" s="390">
        <f t="shared" si="3"/>
        <v>0</v>
      </c>
      <c r="K105" s="388"/>
      <c r="L105" s="388"/>
      <c r="O105" s="391"/>
      <c r="P105" s="391"/>
      <c r="Q105" s="391"/>
      <c r="S105" s="370"/>
      <c r="AH105" s="388"/>
      <c r="AJ105" s="388"/>
      <c r="AK105" s="388"/>
      <c r="AU105" s="390"/>
      <c r="AV105" s="390"/>
      <c r="AW105" s="390"/>
      <c r="AX105" s="390"/>
      <c r="AY105" s="390"/>
      <c r="AZ105" s="388"/>
      <c r="BA105" s="390"/>
      <c r="BB105" s="388"/>
      <c r="BC105" s="388"/>
    </row>
    <row r="106" spans="2:55" s="386" customFormat="1" ht="27.6" customHeight="1" x14ac:dyDescent="0.2">
      <c r="B106" s="386">
        <v>24</v>
      </c>
      <c r="C106" s="386" t="s">
        <v>1206</v>
      </c>
      <c r="D106" s="392" t="s">
        <v>1216</v>
      </c>
      <c r="E106" s="392"/>
      <c r="F106" s="388" t="s">
        <v>701</v>
      </c>
      <c r="G106" s="389">
        <v>1</v>
      </c>
      <c r="H106" s="404"/>
      <c r="I106" s="405"/>
      <c r="J106" s="390">
        <f t="shared" si="3"/>
        <v>0</v>
      </c>
      <c r="K106" s="388"/>
      <c r="L106" s="388"/>
      <c r="O106" s="391"/>
      <c r="P106" s="391"/>
      <c r="Q106" s="391"/>
      <c r="S106" s="370"/>
      <c r="AH106" s="388"/>
      <c r="AJ106" s="388"/>
      <c r="AK106" s="388"/>
      <c r="AU106" s="390"/>
      <c r="AV106" s="390"/>
      <c r="AW106" s="390"/>
      <c r="AX106" s="390"/>
      <c r="AY106" s="390"/>
      <c r="AZ106" s="388"/>
      <c r="BA106" s="390"/>
      <c r="BB106" s="388"/>
      <c r="BC106" s="388"/>
    </row>
    <row r="107" spans="2:55" s="386" customFormat="1" ht="27.6" customHeight="1" x14ac:dyDescent="0.2">
      <c r="B107" s="386">
        <v>25</v>
      </c>
      <c r="C107" s="386" t="s">
        <v>934</v>
      </c>
      <c r="D107" s="392" t="s">
        <v>1217</v>
      </c>
      <c r="E107" s="392"/>
      <c r="F107" s="388" t="s">
        <v>701</v>
      </c>
      <c r="G107" s="389">
        <v>1</v>
      </c>
      <c r="H107" s="404"/>
      <c r="I107" s="405"/>
      <c r="J107" s="390">
        <f t="shared" si="3"/>
        <v>0</v>
      </c>
      <c r="K107" s="388"/>
      <c r="L107" s="388"/>
      <c r="O107" s="391"/>
      <c r="P107" s="391"/>
      <c r="Q107" s="391"/>
      <c r="S107" s="370"/>
      <c r="AH107" s="388"/>
      <c r="AJ107" s="388"/>
      <c r="AK107" s="388"/>
      <c r="AU107" s="390"/>
      <c r="AV107" s="390"/>
      <c r="AW107" s="390"/>
      <c r="AX107" s="390"/>
      <c r="AY107" s="390"/>
      <c r="AZ107" s="388"/>
      <c r="BA107" s="390"/>
      <c r="BB107" s="388"/>
      <c r="BC107" s="388"/>
    </row>
    <row r="108" spans="2:55" s="386" customFormat="1" ht="27.6" customHeight="1" x14ac:dyDescent="0.2">
      <c r="B108" s="386">
        <v>26</v>
      </c>
      <c r="C108" s="386" t="s">
        <v>934</v>
      </c>
      <c r="D108" s="392" t="s">
        <v>1218</v>
      </c>
      <c r="E108" s="392"/>
      <c r="F108" s="388" t="s">
        <v>701</v>
      </c>
      <c r="G108" s="389">
        <v>1</v>
      </c>
      <c r="H108" s="404"/>
      <c r="I108" s="405"/>
      <c r="J108" s="390">
        <f t="shared" si="3"/>
        <v>0</v>
      </c>
      <c r="K108" s="388"/>
      <c r="L108" s="388"/>
      <c r="O108" s="391"/>
      <c r="P108" s="391"/>
      <c r="Q108" s="391"/>
      <c r="S108" s="370"/>
      <c r="AH108" s="388"/>
      <c r="AJ108" s="388"/>
      <c r="AK108" s="388"/>
      <c r="AU108" s="390"/>
      <c r="AV108" s="390"/>
      <c r="AW108" s="390"/>
      <c r="AX108" s="390"/>
      <c r="AY108" s="390"/>
      <c r="AZ108" s="388"/>
      <c r="BA108" s="390"/>
      <c r="BB108" s="388"/>
      <c r="BC108" s="388"/>
    </row>
    <row r="109" spans="2:55" s="386" customFormat="1" ht="27.6" customHeight="1" x14ac:dyDescent="0.2">
      <c r="B109" s="386">
        <v>27</v>
      </c>
      <c r="C109" s="386" t="s">
        <v>1206</v>
      </c>
      <c r="D109" s="387" t="s">
        <v>1219</v>
      </c>
      <c r="E109" s="388"/>
      <c r="F109" s="388" t="s">
        <v>701</v>
      </c>
      <c r="G109" s="389">
        <v>1</v>
      </c>
      <c r="H109" s="404"/>
      <c r="I109" s="405"/>
      <c r="J109" s="390">
        <f t="shared" si="3"/>
        <v>0</v>
      </c>
      <c r="K109" s="388"/>
      <c r="L109" s="388"/>
      <c r="O109" s="391"/>
      <c r="P109" s="391"/>
      <c r="Q109" s="391"/>
      <c r="S109" s="370"/>
      <c r="AH109" s="388"/>
      <c r="AJ109" s="388"/>
      <c r="AK109" s="388"/>
      <c r="AU109" s="390"/>
      <c r="AV109" s="390"/>
      <c r="AW109" s="390"/>
      <c r="AX109" s="390"/>
      <c r="AY109" s="390"/>
      <c r="AZ109" s="388"/>
      <c r="BA109" s="390"/>
      <c r="BB109" s="388"/>
      <c r="BC109" s="388"/>
    </row>
    <row r="110" spans="2:55" s="369" customFormat="1" ht="21" customHeight="1" x14ac:dyDescent="0.2">
      <c r="B110" s="366" t="s">
        <v>1220</v>
      </c>
      <c r="C110" s="366"/>
      <c r="D110" s="367"/>
      <c r="E110" s="367"/>
      <c r="F110" s="367"/>
      <c r="G110" s="367"/>
      <c r="H110" s="400"/>
      <c r="I110" s="400"/>
      <c r="J110" s="368">
        <f>SUM(J111:J116)</f>
        <v>0</v>
      </c>
      <c r="N110" s="361" t="e">
        <f>SUM(#REF!)</f>
        <v>#REF!</v>
      </c>
      <c r="P110" s="361" t="e">
        <f>SUM(#REF!)</f>
        <v>#REF!</v>
      </c>
      <c r="S110" s="370"/>
      <c r="AH110" s="369" t="s">
        <v>354</v>
      </c>
      <c r="AJ110" s="369" t="s">
        <v>495</v>
      </c>
      <c r="AK110" s="369" t="s">
        <v>354</v>
      </c>
      <c r="AO110" s="369" t="s">
        <v>1197</v>
      </c>
      <c r="BA110" s="355" t="e">
        <f>SUM(#REF!)</f>
        <v>#REF!</v>
      </c>
    </row>
    <row r="111" spans="2:55" s="386" customFormat="1" ht="27.6" customHeight="1" x14ac:dyDescent="0.2">
      <c r="B111" s="386">
        <v>33</v>
      </c>
      <c r="C111" s="386" t="s">
        <v>1206</v>
      </c>
      <c r="D111" s="387" t="s">
        <v>1213</v>
      </c>
      <c r="E111" s="388" t="s">
        <v>1214</v>
      </c>
      <c r="F111" s="388" t="s">
        <v>915</v>
      </c>
      <c r="G111" s="389">
        <v>2</v>
      </c>
      <c r="H111" s="404"/>
      <c r="I111" s="405"/>
      <c r="J111" s="390">
        <f t="shared" ref="J111:J116" si="4">(G111*H111)+(G111*I111)</f>
        <v>0</v>
      </c>
      <c r="K111" s="388">
        <v>69</v>
      </c>
      <c r="L111" s="388">
        <f>(G111*H111)+(G111*K111)</f>
        <v>138</v>
      </c>
      <c r="O111" s="391"/>
      <c r="P111" s="391"/>
      <c r="Q111" s="391"/>
      <c r="S111" s="370"/>
      <c r="AH111" s="388"/>
      <c r="AJ111" s="388"/>
      <c r="AK111" s="388"/>
      <c r="AU111" s="390"/>
      <c r="AV111" s="390"/>
      <c r="AW111" s="390"/>
      <c r="AX111" s="390"/>
      <c r="AY111" s="390"/>
      <c r="AZ111" s="388"/>
      <c r="BA111" s="390"/>
      <c r="BB111" s="388"/>
      <c r="BC111" s="388"/>
    </row>
    <row r="112" spans="2:55" s="386" customFormat="1" ht="27.6" customHeight="1" x14ac:dyDescent="0.2">
      <c r="B112" s="386">
        <v>34</v>
      </c>
      <c r="C112" s="386" t="s">
        <v>1206</v>
      </c>
      <c r="D112" s="387" t="s">
        <v>1215</v>
      </c>
      <c r="E112" s="388"/>
      <c r="F112" s="388" t="s">
        <v>915</v>
      </c>
      <c r="G112" s="389">
        <v>3</v>
      </c>
      <c r="H112" s="404"/>
      <c r="I112" s="405"/>
      <c r="J112" s="390">
        <f t="shared" si="4"/>
        <v>0</v>
      </c>
      <c r="K112" s="388"/>
      <c r="L112" s="388"/>
      <c r="O112" s="391"/>
      <c r="P112" s="391"/>
      <c r="Q112" s="391"/>
      <c r="S112" s="370"/>
      <c r="AH112" s="388"/>
      <c r="AJ112" s="388"/>
      <c r="AK112" s="388"/>
      <c r="AU112" s="390"/>
      <c r="AV112" s="390"/>
      <c r="AW112" s="390"/>
      <c r="AX112" s="390"/>
      <c r="AY112" s="390"/>
      <c r="AZ112" s="388"/>
      <c r="BA112" s="390"/>
      <c r="BB112" s="388"/>
      <c r="BC112" s="388"/>
    </row>
    <row r="113" spans="2:55" s="386" customFormat="1" ht="27.6" customHeight="1" x14ac:dyDescent="0.2">
      <c r="B113" s="386">
        <v>35</v>
      </c>
      <c r="C113" s="386" t="s">
        <v>1206</v>
      </c>
      <c r="D113" s="392" t="s">
        <v>1216</v>
      </c>
      <c r="E113" s="392"/>
      <c r="F113" s="388" t="s">
        <v>701</v>
      </c>
      <c r="G113" s="389">
        <v>1</v>
      </c>
      <c r="H113" s="404"/>
      <c r="I113" s="405"/>
      <c r="J113" s="390">
        <f t="shared" si="4"/>
        <v>0</v>
      </c>
      <c r="K113" s="388"/>
      <c r="L113" s="388"/>
      <c r="O113" s="391"/>
      <c r="P113" s="391"/>
      <c r="Q113" s="391"/>
      <c r="S113" s="370"/>
      <c r="AH113" s="388"/>
      <c r="AJ113" s="388"/>
      <c r="AK113" s="388"/>
      <c r="AU113" s="390"/>
      <c r="AV113" s="390"/>
      <c r="AW113" s="390"/>
      <c r="AX113" s="390"/>
      <c r="AY113" s="390"/>
      <c r="AZ113" s="388"/>
      <c r="BA113" s="390"/>
      <c r="BB113" s="388"/>
      <c r="BC113" s="388"/>
    </row>
    <row r="114" spans="2:55" s="386" customFormat="1" ht="27.6" customHeight="1" x14ac:dyDescent="0.2">
      <c r="B114" s="386">
        <v>36</v>
      </c>
      <c r="C114" s="386" t="s">
        <v>934</v>
      </c>
      <c r="D114" s="392" t="s">
        <v>1217</v>
      </c>
      <c r="E114" s="392"/>
      <c r="F114" s="388" t="s">
        <v>701</v>
      </c>
      <c r="G114" s="389">
        <v>1</v>
      </c>
      <c r="H114" s="404"/>
      <c r="I114" s="405"/>
      <c r="J114" s="390">
        <f t="shared" si="4"/>
        <v>0</v>
      </c>
      <c r="K114" s="388"/>
      <c r="L114" s="388"/>
      <c r="O114" s="391"/>
      <c r="P114" s="391"/>
      <c r="Q114" s="391"/>
      <c r="S114" s="370"/>
      <c r="AH114" s="388"/>
      <c r="AJ114" s="388"/>
      <c r="AK114" s="388"/>
      <c r="AU114" s="390"/>
      <c r="AV114" s="390"/>
      <c r="AW114" s="390"/>
      <c r="AX114" s="390"/>
      <c r="AY114" s="390"/>
      <c r="AZ114" s="388"/>
      <c r="BA114" s="390"/>
      <c r="BB114" s="388"/>
      <c r="BC114" s="388"/>
    </row>
    <row r="115" spans="2:55" s="386" customFormat="1" ht="27.6" customHeight="1" x14ac:dyDescent="0.2">
      <c r="B115" s="386">
        <v>37</v>
      </c>
      <c r="C115" s="386" t="s">
        <v>934</v>
      </c>
      <c r="D115" s="392" t="s">
        <v>1218</v>
      </c>
      <c r="E115" s="392"/>
      <c r="F115" s="388" t="s">
        <v>701</v>
      </c>
      <c r="G115" s="389">
        <v>1</v>
      </c>
      <c r="H115" s="404"/>
      <c r="I115" s="405"/>
      <c r="J115" s="390">
        <f t="shared" si="4"/>
        <v>0</v>
      </c>
      <c r="K115" s="388"/>
      <c r="L115" s="388"/>
      <c r="O115" s="391"/>
      <c r="P115" s="391"/>
      <c r="Q115" s="391"/>
      <c r="S115" s="370"/>
      <c r="AH115" s="388"/>
      <c r="AJ115" s="388"/>
      <c r="AK115" s="388"/>
      <c r="AU115" s="390"/>
      <c r="AV115" s="390"/>
      <c r="AW115" s="390"/>
      <c r="AX115" s="390"/>
      <c r="AY115" s="390"/>
      <c r="AZ115" s="388"/>
      <c r="BA115" s="390"/>
      <c r="BB115" s="388"/>
      <c r="BC115" s="388"/>
    </row>
    <row r="116" spans="2:55" s="386" customFormat="1" ht="27.6" customHeight="1" x14ac:dyDescent="0.2">
      <c r="B116" s="386">
        <v>39</v>
      </c>
      <c r="C116" s="386" t="s">
        <v>1206</v>
      </c>
      <c r="D116" s="387" t="s">
        <v>1219</v>
      </c>
      <c r="E116" s="388"/>
      <c r="F116" s="388" t="s">
        <v>701</v>
      </c>
      <c r="G116" s="389">
        <v>1</v>
      </c>
      <c r="H116" s="404"/>
      <c r="I116" s="405"/>
      <c r="J116" s="390">
        <f t="shared" si="4"/>
        <v>0</v>
      </c>
      <c r="K116" s="388"/>
      <c r="L116" s="388"/>
      <c r="O116" s="391"/>
      <c r="P116" s="391"/>
      <c r="Q116" s="391"/>
      <c r="S116" s="370"/>
      <c r="AH116" s="388"/>
      <c r="AJ116" s="388"/>
      <c r="AK116" s="388"/>
      <c r="AU116" s="390"/>
      <c r="AV116" s="390"/>
      <c r="AW116" s="390"/>
      <c r="AX116" s="390"/>
      <c r="AY116" s="390"/>
      <c r="AZ116" s="388"/>
      <c r="BA116" s="390"/>
      <c r="BB116" s="388"/>
      <c r="BC116" s="388"/>
    </row>
    <row r="117" spans="2:55" s="369" customFormat="1" ht="21" customHeight="1" x14ac:dyDescent="0.2">
      <c r="B117" s="366" t="s">
        <v>1221</v>
      </c>
      <c r="C117" s="366"/>
      <c r="D117" s="367"/>
      <c r="E117" s="367"/>
      <c r="F117" s="367"/>
      <c r="G117" s="367"/>
      <c r="H117" s="400"/>
      <c r="I117" s="400"/>
      <c r="J117" s="368">
        <f>SUM(J118:J123)</f>
        <v>0</v>
      </c>
      <c r="N117" s="361" t="e">
        <f>SUM(#REF!)</f>
        <v>#REF!</v>
      </c>
      <c r="P117" s="361" t="e">
        <f>SUM(#REF!)</f>
        <v>#REF!</v>
      </c>
      <c r="S117" s="370"/>
      <c r="AH117" s="369" t="s">
        <v>354</v>
      </c>
      <c r="AJ117" s="369" t="s">
        <v>495</v>
      </c>
      <c r="AK117" s="369" t="s">
        <v>354</v>
      </c>
      <c r="AO117" s="369" t="s">
        <v>1197</v>
      </c>
      <c r="BA117" s="355" t="e">
        <f>SUM(#REF!)</f>
        <v>#REF!</v>
      </c>
    </row>
    <row r="118" spans="2:55" s="386" customFormat="1" ht="27.6" customHeight="1" x14ac:dyDescent="0.2">
      <c r="B118" s="386">
        <v>40</v>
      </c>
      <c r="C118" s="386" t="s">
        <v>1206</v>
      </c>
      <c r="D118" s="387" t="s">
        <v>1213</v>
      </c>
      <c r="E118" s="388" t="s">
        <v>1214</v>
      </c>
      <c r="F118" s="388" t="s">
        <v>915</v>
      </c>
      <c r="G118" s="389">
        <v>2</v>
      </c>
      <c r="H118" s="404"/>
      <c r="I118" s="405"/>
      <c r="J118" s="390">
        <f t="shared" ref="J118:J123" si="5">(G118*H118)+(G118*I118)</f>
        <v>0</v>
      </c>
      <c r="K118" s="388">
        <v>69</v>
      </c>
      <c r="L118" s="388">
        <f>(G118*H118)+(G118*K118)</f>
        <v>138</v>
      </c>
      <c r="O118" s="391"/>
      <c r="P118" s="391"/>
      <c r="Q118" s="391"/>
      <c r="S118" s="370"/>
      <c r="AH118" s="388"/>
      <c r="AJ118" s="388"/>
      <c r="AK118" s="388"/>
      <c r="AU118" s="390"/>
      <c r="AV118" s="390"/>
      <c r="AW118" s="390"/>
      <c r="AX118" s="390"/>
      <c r="AY118" s="390"/>
      <c r="AZ118" s="388"/>
      <c r="BA118" s="390"/>
      <c r="BB118" s="388"/>
      <c r="BC118" s="388"/>
    </row>
    <row r="119" spans="2:55" s="386" customFormat="1" ht="27.6" customHeight="1" x14ac:dyDescent="0.2">
      <c r="B119" s="386">
        <v>41</v>
      </c>
      <c r="C119" s="386" t="s">
        <v>1206</v>
      </c>
      <c r="D119" s="387" t="s">
        <v>1215</v>
      </c>
      <c r="E119" s="388"/>
      <c r="F119" s="388" t="s">
        <v>915</v>
      </c>
      <c r="G119" s="389">
        <v>3</v>
      </c>
      <c r="H119" s="404"/>
      <c r="I119" s="405"/>
      <c r="J119" s="390">
        <f t="shared" si="5"/>
        <v>0</v>
      </c>
      <c r="K119" s="388"/>
      <c r="L119" s="388"/>
      <c r="O119" s="391"/>
      <c r="P119" s="391"/>
      <c r="Q119" s="391"/>
      <c r="S119" s="370"/>
      <c r="AH119" s="388"/>
      <c r="AJ119" s="388"/>
      <c r="AK119" s="388"/>
      <c r="AU119" s="390"/>
      <c r="AV119" s="390"/>
      <c r="AW119" s="390"/>
      <c r="AX119" s="390"/>
      <c r="AY119" s="390"/>
      <c r="AZ119" s="388"/>
      <c r="BA119" s="390"/>
      <c r="BB119" s="388"/>
      <c r="BC119" s="388"/>
    </row>
    <row r="120" spans="2:55" s="386" customFormat="1" ht="27.6" customHeight="1" x14ac:dyDescent="0.2">
      <c r="B120" s="386">
        <v>42</v>
      </c>
      <c r="C120" s="386" t="s">
        <v>1206</v>
      </c>
      <c r="D120" s="392" t="s">
        <v>1216</v>
      </c>
      <c r="E120" s="392"/>
      <c r="F120" s="388" t="s">
        <v>701</v>
      </c>
      <c r="G120" s="389">
        <v>1</v>
      </c>
      <c r="H120" s="404"/>
      <c r="I120" s="405"/>
      <c r="J120" s="390">
        <f t="shared" si="5"/>
        <v>0</v>
      </c>
      <c r="K120" s="388"/>
      <c r="L120" s="388"/>
      <c r="O120" s="391"/>
      <c r="P120" s="391"/>
      <c r="Q120" s="391"/>
      <c r="S120" s="370"/>
      <c r="AH120" s="388"/>
      <c r="AJ120" s="388"/>
      <c r="AK120" s="388"/>
      <c r="AU120" s="390"/>
      <c r="AV120" s="390"/>
      <c r="AW120" s="390"/>
      <c r="AX120" s="390"/>
      <c r="AY120" s="390"/>
      <c r="AZ120" s="388"/>
      <c r="BA120" s="390"/>
      <c r="BB120" s="388"/>
      <c r="BC120" s="388"/>
    </row>
    <row r="121" spans="2:55" s="386" customFormat="1" ht="27.6" customHeight="1" x14ac:dyDescent="0.2">
      <c r="B121" s="386">
        <v>43</v>
      </c>
      <c r="C121" s="386" t="s">
        <v>934</v>
      </c>
      <c r="D121" s="392" t="s">
        <v>1217</v>
      </c>
      <c r="E121" s="392"/>
      <c r="F121" s="388" t="s">
        <v>701</v>
      </c>
      <c r="G121" s="389">
        <v>1</v>
      </c>
      <c r="H121" s="404"/>
      <c r="I121" s="405"/>
      <c r="J121" s="390">
        <f t="shared" si="5"/>
        <v>0</v>
      </c>
      <c r="K121" s="388"/>
      <c r="L121" s="388"/>
      <c r="O121" s="391"/>
      <c r="P121" s="391"/>
      <c r="Q121" s="391"/>
      <c r="S121" s="370"/>
      <c r="AH121" s="388"/>
      <c r="AJ121" s="388"/>
      <c r="AK121" s="388"/>
      <c r="AU121" s="390"/>
      <c r="AV121" s="390"/>
      <c r="AW121" s="390"/>
      <c r="AX121" s="390"/>
      <c r="AY121" s="390"/>
      <c r="AZ121" s="388"/>
      <c r="BA121" s="390"/>
      <c r="BB121" s="388"/>
      <c r="BC121" s="388"/>
    </row>
    <row r="122" spans="2:55" s="386" customFormat="1" ht="27.6" customHeight="1" x14ac:dyDescent="0.2">
      <c r="B122" s="386">
        <v>44</v>
      </c>
      <c r="C122" s="386" t="s">
        <v>934</v>
      </c>
      <c r="D122" s="392" t="s">
        <v>1218</v>
      </c>
      <c r="E122" s="392"/>
      <c r="F122" s="388" t="s">
        <v>701</v>
      </c>
      <c r="G122" s="389">
        <v>1</v>
      </c>
      <c r="H122" s="404"/>
      <c r="I122" s="405"/>
      <c r="J122" s="390">
        <f t="shared" si="5"/>
        <v>0</v>
      </c>
      <c r="K122" s="388"/>
      <c r="L122" s="388"/>
      <c r="O122" s="391"/>
      <c r="P122" s="391"/>
      <c r="Q122" s="391"/>
      <c r="S122" s="370"/>
      <c r="AH122" s="388"/>
      <c r="AJ122" s="388"/>
      <c r="AK122" s="388"/>
      <c r="AU122" s="390"/>
      <c r="AV122" s="390"/>
      <c r="AW122" s="390"/>
      <c r="AX122" s="390"/>
      <c r="AY122" s="390"/>
      <c r="AZ122" s="388"/>
      <c r="BA122" s="390"/>
      <c r="BB122" s="388"/>
      <c r="BC122" s="388"/>
    </row>
    <row r="123" spans="2:55" s="386" customFormat="1" ht="27.6" customHeight="1" x14ac:dyDescent="0.2">
      <c r="B123" s="386">
        <v>46</v>
      </c>
      <c r="C123" s="386" t="s">
        <v>1206</v>
      </c>
      <c r="D123" s="387" t="s">
        <v>1219</v>
      </c>
      <c r="E123" s="388"/>
      <c r="F123" s="388" t="s">
        <v>701</v>
      </c>
      <c r="G123" s="389">
        <v>1</v>
      </c>
      <c r="H123" s="404"/>
      <c r="I123" s="405"/>
      <c r="J123" s="390">
        <f t="shared" si="5"/>
        <v>0</v>
      </c>
      <c r="K123" s="388"/>
      <c r="L123" s="388"/>
      <c r="O123" s="391"/>
      <c r="P123" s="391"/>
      <c r="Q123" s="391"/>
      <c r="S123" s="370"/>
      <c r="AH123" s="388"/>
      <c r="AJ123" s="388"/>
      <c r="AK123" s="388"/>
      <c r="AU123" s="390"/>
      <c r="AV123" s="390"/>
      <c r="AW123" s="390"/>
      <c r="AX123" s="390"/>
      <c r="AY123" s="390"/>
      <c r="AZ123" s="388"/>
      <c r="BA123" s="390"/>
      <c r="BB123" s="388"/>
      <c r="BC123" s="388"/>
    </row>
    <row r="124" spans="2:55" s="369" customFormat="1" ht="21" customHeight="1" x14ac:dyDescent="0.2">
      <c r="B124" s="366" t="s">
        <v>1222</v>
      </c>
      <c r="C124" s="366"/>
      <c r="D124" s="367"/>
      <c r="E124" s="367"/>
      <c r="F124" s="367"/>
      <c r="G124" s="367"/>
      <c r="H124" s="400"/>
      <c r="I124" s="400"/>
      <c r="J124" s="368">
        <f>SUM(J126:J128)</f>
        <v>0</v>
      </c>
      <c r="N124" s="361" t="e">
        <f>SUM(#REF!)</f>
        <v>#REF!</v>
      </c>
      <c r="P124" s="361" t="e">
        <f>SUM(#REF!)</f>
        <v>#REF!</v>
      </c>
      <c r="S124" s="370"/>
      <c r="AH124" s="369" t="s">
        <v>354</v>
      </c>
      <c r="AJ124" s="369" t="s">
        <v>495</v>
      </c>
      <c r="AK124" s="369" t="s">
        <v>354</v>
      </c>
      <c r="AO124" s="369" t="s">
        <v>1197</v>
      </c>
      <c r="BA124" s="355" t="e">
        <f>SUM(#REF!)</f>
        <v>#REF!</v>
      </c>
    </row>
    <row r="125" spans="2:55" s="393" customFormat="1" ht="11.25" customHeight="1" x14ac:dyDescent="0.15">
      <c r="B125" s="393" t="s">
        <v>1223</v>
      </c>
      <c r="H125" s="406"/>
      <c r="I125" s="406"/>
      <c r="J125" s="394"/>
      <c r="N125" s="395"/>
      <c r="P125" s="395"/>
      <c r="S125" s="370"/>
      <c r="BA125" s="396"/>
    </row>
    <row r="126" spans="2:55" s="370" customFormat="1" ht="38.450000000000003" customHeight="1" x14ac:dyDescent="0.2">
      <c r="B126" s="386">
        <v>47</v>
      </c>
      <c r="C126" s="386" t="s">
        <v>1206</v>
      </c>
      <c r="D126" s="387" t="s">
        <v>1224</v>
      </c>
      <c r="E126" s="388" t="s">
        <v>1225</v>
      </c>
      <c r="F126" s="388" t="s">
        <v>915</v>
      </c>
      <c r="G126" s="389">
        <v>10</v>
      </c>
      <c r="H126" s="404"/>
      <c r="I126" s="405"/>
      <c r="J126" s="390">
        <f>(G126*H126)+(G126*I126)</f>
        <v>0</v>
      </c>
      <c r="K126" s="375"/>
      <c r="L126" s="375"/>
      <c r="O126" s="376"/>
      <c r="P126" s="376"/>
      <c r="Q126" s="376"/>
      <c r="AH126" s="375"/>
      <c r="AJ126" s="375"/>
      <c r="AK126" s="375"/>
      <c r="AU126" s="374"/>
      <c r="AV126" s="374"/>
      <c r="AW126" s="374"/>
      <c r="AX126" s="374"/>
      <c r="AY126" s="374"/>
      <c r="AZ126" s="375"/>
      <c r="BA126" s="374"/>
      <c r="BB126" s="375"/>
      <c r="BC126" s="375"/>
    </row>
    <row r="127" spans="2:55" s="370" customFormat="1" ht="45" customHeight="1" x14ac:dyDescent="0.2">
      <c r="B127" s="386">
        <v>48</v>
      </c>
      <c r="C127" s="386" t="s">
        <v>1206</v>
      </c>
      <c r="D127" s="387" t="s">
        <v>1226</v>
      </c>
      <c r="E127" s="388" t="s">
        <v>1225</v>
      </c>
      <c r="F127" s="388" t="s">
        <v>915</v>
      </c>
      <c r="G127" s="389">
        <v>6</v>
      </c>
      <c r="H127" s="404"/>
      <c r="I127" s="405"/>
      <c r="J127" s="390">
        <f>(G127*H127)+(G127*I127)</f>
        <v>0</v>
      </c>
      <c r="K127" s="375"/>
      <c r="L127" s="375"/>
      <c r="O127" s="376"/>
      <c r="P127" s="376"/>
      <c r="Q127" s="376"/>
      <c r="AH127" s="375"/>
      <c r="AJ127" s="375"/>
      <c r="AK127" s="375"/>
      <c r="AU127" s="374"/>
      <c r="AV127" s="374"/>
      <c r="AW127" s="374"/>
      <c r="AX127" s="374"/>
      <c r="AY127" s="374"/>
      <c r="AZ127" s="375"/>
      <c r="BA127" s="374"/>
      <c r="BB127" s="375"/>
      <c r="BC127" s="375"/>
    </row>
    <row r="128" spans="2:55" s="370" customFormat="1" ht="75.599999999999994" customHeight="1" x14ac:dyDescent="0.2">
      <c r="B128" s="386">
        <v>49</v>
      </c>
      <c r="C128" s="386" t="s">
        <v>1206</v>
      </c>
      <c r="D128" s="387" t="s">
        <v>1227</v>
      </c>
      <c r="E128" s="388"/>
      <c r="F128" s="388" t="s">
        <v>915</v>
      </c>
      <c r="G128" s="389">
        <v>5</v>
      </c>
      <c r="H128" s="404"/>
      <c r="I128" s="405"/>
      <c r="J128" s="390">
        <f>(G128*H128)+(G128*I128)</f>
        <v>0</v>
      </c>
      <c r="K128" s="375"/>
      <c r="L128" s="375"/>
      <c r="O128" s="376"/>
      <c r="P128" s="376"/>
      <c r="Q128" s="376"/>
      <c r="AH128" s="375"/>
      <c r="AJ128" s="375"/>
      <c r="AK128" s="375"/>
      <c r="AU128" s="374"/>
      <c r="AV128" s="374"/>
      <c r="AW128" s="374"/>
      <c r="AX128" s="374"/>
      <c r="AY128" s="374"/>
      <c r="AZ128" s="375"/>
      <c r="BA128" s="374"/>
      <c r="BB128" s="375"/>
      <c r="BC128" s="375"/>
    </row>
    <row r="129" spans="2:55" s="369" customFormat="1" ht="21" customHeight="1" x14ac:dyDescent="0.2">
      <c r="B129" s="366" t="s">
        <v>1228</v>
      </c>
      <c r="C129" s="366"/>
      <c r="D129" s="367"/>
      <c r="E129" s="367"/>
      <c r="F129" s="367"/>
      <c r="G129" s="367"/>
      <c r="H129" s="400"/>
      <c r="I129" s="400"/>
      <c r="J129" s="368">
        <f>SUM(J131:J133)</f>
        <v>0</v>
      </c>
      <c r="N129" s="361" t="e">
        <f>SUM(#REF!)</f>
        <v>#REF!</v>
      </c>
      <c r="P129" s="361" t="e">
        <f>SUM(#REF!)</f>
        <v>#REF!</v>
      </c>
      <c r="S129" s="370"/>
      <c r="AH129" s="369" t="s">
        <v>354</v>
      </c>
      <c r="AJ129" s="369" t="s">
        <v>495</v>
      </c>
      <c r="AK129" s="369" t="s">
        <v>354</v>
      </c>
      <c r="AO129" s="369" t="s">
        <v>1197</v>
      </c>
      <c r="BA129" s="355" t="e">
        <f>SUM(#REF!)</f>
        <v>#REF!</v>
      </c>
    </row>
    <row r="130" spans="2:55" s="393" customFormat="1" ht="11.25" customHeight="1" x14ac:dyDescent="0.15">
      <c r="B130" s="393" t="s">
        <v>1223</v>
      </c>
      <c r="H130" s="406"/>
      <c r="I130" s="406"/>
      <c r="J130" s="394"/>
      <c r="N130" s="395"/>
      <c r="P130" s="395"/>
      <c r="S130" s="370"/>
      <c r="BA130" s="396"/>
    </row>
    <row r="131" spans="2:55" s="370" customFormat="1" ht="38.450000000000003" customHeight="1" x14ac:dyDescent="0.2">
      <c r="B131" s="386">
        <v>50</v>
      </c>
      <c r="C131" s="386" t="s">
        <v>1206</v>
      </c>
      <c r="D131" s="387" t="s">
        <v>1224</v>
      </c>
      <c r="E131" s="388" t="s">
        <v>1225</v>
      </c>
      <c r="F131" s="388" t="s">
        <v>915</v>
      </c>
      <c r="G131" s="389">
        <v>10</v>
      </c>
      <c r="H131" s="404"/>
      <c r="I131" s="405"/>
      <c r="J131" s="390">
        <f>(G131*H131)+(G131*I131)</f>
        <v>0</v>
      </c>
      <c r="K131" s="375"/>
      <c r="L131" s="375"/>
      <c r="O131" s="376"/>
      <c r="P131" s="376"/>
      <c r="Q131" s="376"/>
      <c r="AH131" s="375"/>
      <c r="AJ131" s="375"/>
      <c r="AK131" s="375"/>
      <c r="AU131" s="374"/>
      <c r="AV131" s="374"/>
      <c r="AW131" s="374"/>
      <c r="AX131" s="374"/>
      <c r="AY131" s="374"/>
      <c r="AZ131" s="375"/>
      <c r="BA131" s="374"/>
      <c r="BB131" s="375"/>
      <c r="BC131" s="375"/>
    </row>
    <row r="132" spans="2:55" s="370" customFormat="1" ht="45" customHeight="1" x14ac:dyDescent="0.2">
      <c r="B132" s="386">
        <v>51</v>
      </c>
      <c r="C132" s="386" t="s">
        <v>1206</v>
      </c>
      <c r="D132" s="387" t="s">
        <v>1226</v>
      </c>
      <c r="E132" s="388" t="s">
        <v>1225</v>
      </c>
      <c r="F132" s="388" t="s">
        <v>915</v>
      </c>
      <c r="G132" s="389">
        <v>6</v>
      </c>
      <c r="H132" s="404"/>
      <c r="I132" s="405"/>
      <c r="J132" s="390">
        <f>(G132*H132)+(G132*I132)</f>
        <v>0</v>
      </c>
      <c r="K132" s="375"/>
      <c r="L132" s="375"/>
      <c r="O132" s="376"/>
      <c r="P132" s="376"/>
      <c r="Q132" s="376"/>
      <c r="AH132" s="375"/>
      <c r="AJ132" s="375"/>
      <c r="AK132" s="375"/>
      <c r="AU132" s="374"/>
      <c r="AV132" s="374"/>
      <c r="AW132" s="374"/>
      <c r="AX132" s="374"/>
      <c r="AY132" s="374"/>
      <c r="AZ132" s="375"/>
      <c r="BA132" s="374"/>
      <c r="BB132" s="375"/>
      <c r="BC132" s="375"/>
    </row>
    <row r="133" spans="2:55" s="370" customFormat="1" ht="75.599999999999994" customHeight="1" x14ac:dyDescent="0.2">
      <c r="B133" s="386">
        <v>52</v>
      </c>
      <c r="C133" s="386" t="s">
        <v>1206</v>
      </c>
      <c r="D133" s="387" t="s">
        <v>1227</v>
      </c>
      <c r="E133" s="388"/>
      <c r="F133" s="388" t="s">
        <v>915</v>
      </c>
      <c r="G133" s="389">
        <v>5</v>
      </c>
      <c r="H133" s="404"/>
      <c r="I133" s="405"/>
      <c r="J133" s="390">
        <f>(G133*H133)+(G133*I133)</f>
        <v>0</v>
      </c>
      <c r="K133" s="375"/>
      <c r="L133" s="375"/>
      <c r="O133" s="376"/>
      <c r="P133" s="376"/>
      <c r="Q133" s="376"/>
      <c r="AH133" s="375"/>
      <c r="AJ133" s="375"/>
      <c r="AK133" s="375"/>
      <c r="AU133" s="374"/>
      <c r="AV133" s="374"/>
      <c r="AW133" s="374"/>
      <c r="AX133" s="374"/>
      <c r="AY133" s="374"/>
      <c r="AZ133" s="375"/>
      <c r="BA133" s="374"/>
      <c r="BB133" s="375"/>
      <c r="BC133" s="375"/>
    </row>
    <row r="134" spans="2:55" s="369" customFormat="1" ht="21" customHeight="1" x14ac:dyDescent="0.2">
      <c r="B134" s="366" t="s">
        <v>1229</v>
      </c>
      <c r="C134" s="366"/>
      <c r="D134" s="367"/>
      <c r="E134" s="367"/>
      <c r="F134" s="367"/>
      <c r="G134" s="367"/>
      <c r="H134" s="400"/>
      <c r="I134" s="400"/>
      <c r="J134" s="368">
        <f>SUM(J136:J138)</f>
        <v>0</v>
      </c>
      <c r="N134" s="361" t="e">
        <f>SUM(#REF!)</f>
        <v>#REF!</v>
      </c>
      <c r="P134" s="361" t="e">
        <f>SUM(#REF!)</f>
        <v>#REF!</v>
      </c>
      <c r="S134" s="370"/>
      <c r="AH134" s="369" t="s">
        <v>354</v>
      </c>
      <c r="AJ134" s="369" t="s">
        <v>495</v>
      </c>
      <c r="AK134" s="369" t="s">
        <v>354</v>
      </c>
      <c r="AO134" s="369" t="s">
        <v>1197</v>
      </c>
      <c r="BA134" s="355" t="e">
        <f>SUM(#REF!)</f>
        <v>#REF!</v>
      </c>
    </row>
    <row r="135" spans="2:55" s="393" customFormat="1" ht="11.25" customHeight="1" x14ac:dyDescent="0.15">
      <c r="B135" s="393" t="s">
        <v>1223</v>
      </c>
      <c r="H135" s="406"/>
      <c r="I135" s="406"/>
      <c r="J135" s="394"/>
      <c r="N135" s="395"/>
      <c r="P135" s="395"/>
      <c r="S135" s="370"/>
      <c r="BA135" s="396"/>
    </row>
    <row r="136" spans="2:55" s="370" customFormat="1" ht="55.7" customHeight="1" x14ac:dyDescent="0.2">
      <c r="B136" s="386">
        <v>53</v>
      </c>
      <c r="C136" s="386" t="s">
        <v>1206</v>
      </c>
      <c r="D136" s="387" t="s">
        <v>1224</v>
      </c>
      <c r="E136" s="388" t="s">
        <v>1225</v>
      </c>
      <c r="F136" s="388" t="s">
        <v>915</v>
      </c>
      <c r="G136" s="389">
        <v>10</v>
      </c>
      <c r="H136" s="404"/>
      <c r="I136" s="405"/>
      <c r="J136" s="390">
        <f>(G136*H136)+(G136*I136)</f>
        <v>0</v>
      </c>
      <c r="K136" s="375"/>
      <c r="L136" s="375"/>
      <c r="O136" s="376"/>
      <c r="P136" s="376"/>
      <c r="Q136" s="376"/>
      <c r="AH136" s="375"/>
      <c r="AJ136" s="375"/>
      <c r="AK136" s="375"/>
      <c r="AU136" s="374"/>
      <c r="AV136" s="374"/>
      <c r="AW136" s="374"/>
      <c r="AX136" s="374"/>
      <c r="AY136" s="374"/>
      <c r="AZ136" s="375"/>
      <c r="BA136" s="374"/>
      <c r="BB136" s="375"/>
      <c r="BC136" s="375"/>
    </row>
    <row r="137" spans="2:55" s="370" customFormat="1" ht="64.349999999999994" customHeight="1" x14ac:dyDescent="0.2">
      <c r="B137" s="386">
        <v>54</v>
      </c>
      <c r="C137" s="386" t="s">
        <v>1206</v>
      </c>
      <c r="D137" s="387" t="s">
        <v>1226</v>
      </c>
      <c r="E137" s="388" t="s">
        <v>1225</v>
      </c>
      <c r="F137" s="388" t="s">
        <v>915</v>
      </c>
      <c r="G137" s="389">
        <v>6</v>
      </c>
      <c r="H137" s="404"/>
      <c r="I137" s="405"/>
      <c r="J137" s="390">
        <f>(G137*H137)+(G137*I137)</f>
        <v>0</v>
      </c>
      <c r="K137" s="375"/>
      <c r="L137" s="375"/>
      <c r="O137" s="376"/>
      <c r="P137" s="376"/>
      <c r="Q137" s="376"/>
      <c r="AH137" s="375"/>
      <c r="AJ137" s="375"/>
      <c r="AK137" s="375"/>
      <c r="AU137" s="374"/>
      <c r="AV137" s="374"/>
      <c r="AW137" s="374"/>
      <c r="AX137" s="374"/>
      <c r="AY137" s="374"/>
      <c r="AZ137" s="375"/>
      <c r="BA137" s="374"/>
      <c r="BB137" s="375"/>
      <c r="BC137" s="375"/>
    </row>
    <row r="138" spans="2:55" s="370" customFormat="1" ht="75.599999999999994" customHeight="1" x14ac:dyDescent="0.2">
      <c r="B138" s="386">
        <v>55</v>
      </c>
      <c r="C138" s="386" t="s">
        <v>1206</v>
      </c>
      <c r="D138" s="387" t="s">
        <v>1227</v>
      </c>
      <c r="E138" s="388"/>
      <c r="F138" s="388" t="s">
        <v>915</v>
      </c>
      <c r="G138" s="389">
        <v>5</v>
      </c>
      <c r="H138" s="404"/>
      <c r="I138" s="405"/>
      <c r="J138" s="390">
        <f>(G138*H138)+(G138*I138)</f>
        <v>0</v>
      </c>
      <c r="K138" s="375"/>
      <c r="L138" s="375"/>
      <c r="O138" s="376"/>
      <c r="P138" s="376"/>
      <c r="Q138" s="376"/>
      <c r="AH138" s="375"/>
      <c r="AJ138" s="375"/>
      <c r="AK138" s="375"/>
      <c r="AU138" s="374"/>
      <c r="AV138" s="374"/>
      <c r="AW138" s="374"/>
      <c r="AX138" s="374"/>
      <c r="AY138" s="374"/>
      <c r="AZ138" s="375"/>
      <c r="BA138" s="374"/>
      <c r="BB138" s="375"/>
      <c r="BC138" s="375"/>
    </row>
    <row r="139" spans="2:55" s="369" customFormat="1" ht="21" customHeight="1" x14ac:dyDescent="0.2">
      <c r="B139" s="366" t="s">
        <v>1230</v>
      </c>
      <c r="C139" s="366"/>
      <c r="D139" s="367"/>
      <c r="E139" s="367"/>
      <c r="F139" s="367"/>
      <c r="G139" s="367"/>
      <c r="H139" s="400"/>
      <c r="I139" s="400"/>
      <c r="J139" s="368">
        <f>SUM(J140:J145)</f>
        <v>0</v>
      </c>
      <c r="N139" s="361" t="e">
        <f>SUM(#REF!)</f>
        <v>#REF!</v>
      </c>
      <c r="P139" s="361" t="e">
        <f>SUM(#REF!)</f>
        <v>#REF!</v>
      </c>
      <c r="S139" s="370"/>
      <c r="AH139" s="369" t="s">
        <v>354</v>
      </c>
      <c r="AJ139" s="369" t="s">
        <v>495</v>
      </c>
      <c r="AK139" s="369" t="s">
        <v>354</v>
      </c>
      <c r="AO139" s="369" t="s">
        <v>1197</v>
      </c>
      <c r="BA139" s="355" t="e">
        <f>SUM(#REF!)</f>
        <v>#REF!</v>
      </c>
    </row>
    <row r="140" spans="2:55" s="370" customFormat="1" ht="22.9" customHeight="1" x14ac:dyDescent="0.2">
      <c r="B140" s="370">
        <v>56</v>
      </c>
      <c r="C140" s="370" t="s">
        <v>814</v>
      </c>
      <c r="D140" s="377" t="s">
        <v>1231</v>
      </c>
      <c r="E140" s="375"/>
      <c r="F140" s="375" t="s">
        <v>701</v>
      </c>
      <c r="G140" s="378">
        <v>1</v>
      </c>
      <c r="H140" s="407"/>
      <c r="I140" s="399"/>
      <c r="J140" s="397">
        <f t="shared" ref="J140:J145" si="6">(G140*H140)+(G140*I140)</f>
        <v>0</v>
      </c>
      <c r="K140" s="375"/>
      <c r="L140" s="375"/>
      <c r="O140" s="376"/>
      <c r="P140" s="376"/>
      <c r="Q140" s="376"/>
      <c r="AH140" s="375"/>
      <c r="AJ140" s="375"/>
      <c r="AK140" s="375"/>
      <c r="AU140" s="374"/>
      <c r="AV140" s="374"/>
      <c r="AW140" s="374"/>
      <c r="AX140" s="374"/>
      <c r="AY140" s="374"/>
      <c r="AZ140" s="375"/>
      <c r="BA140" s="374"/>
      <c r="BB140" s="375"/>
      <c r="BC140" s="375"/>
    </row>
    <row r="141" spans="2:55" s="370" customFormat="1" ht="22.9" customHeight="1" x14ac:dyDescent="0.2">
      <c r="B141" s="370">
        <v>57</v>
      </c>
      <c r="C141" s="370" t="s">
        <v>1206</v>
      </c>
      <c r="D141" s="377" t="s">
        <v>1232</v>
      </c>
      <c r="E141" s="375"/>
      <c r="F141" s="375" t="s">
        <v>701</v>
      </c>
      <c r="G141" s="378">
        <v>1</v>
      </c>
      <c r="H141" s="407"/>
      <c r="I141" s="399"/>
      <c r="J141" s="397">
        <f t="shared" si="6"/>
        <v>0</v>
      </c>
      <c r="K141" s="375"/>
      <c r="L141" s="375"/>
      <c r="O141" s="376"/>
      <c r="P141" s="376"/>
      <c r="Q141" s="376"/>
      <c r="AH141" s="375"/>
      <c r="AJ141" s="375"/>
      <c r="AK141" s="375"/>
      <c r="AU141" s="374"/>
      <c r="AV141" s="374"/>
      <c r="AW141" s="374"/>
      <c r="AX141" s="374"/>
      <c r="AY141" s="374"/>
      <c r="AZ141" s="375"/>
      <c r="BA141" s="374"/>
      <c r="BB141" s="375"/>
      <c r="BC141" s="375"/>
    </row>
    <row r="142" spans="2:55" s="370" customFormat="1" ht="22.9" customHeight="1" x14ac:dyDescent="0.2">
      <c r="B142" s="370">
        <v>58</v>
      </c>
      <c r="C142" s="370" t="s">
        <v>814</v>
      </c>
      <c r="D142" s="377" t="s">
        <v>1233</v>
      </c>
      <c r="E142" s="375"/>
      <c r="F142" s="375" t="s">
        <v>701</v>
      </c>
      <c r="G142" s="378">
        <v>1</v>
      </c>
      <c r="H142" s="407"/>
      <c r="I142" s="399"/>
      <c r="J142" s="397">
        <f t="shared" si="6"/>
        <v>0</v>
      </c>
      <c r="K142" s="375"/>
      <c r="L142" s="375"/>
      <c r="O142" s="376"/>
      <c r="P142" s="376"/>
      <c r="Q142" s="376"/>
      <c r="AH142" s="375"/>
      <c r="AJ142" s="375"/>
      <c r="AK142" s="375"/>
      <c r="AU142" s="374"/>
      <c r="AV142" s="374"/>
      <c r="AW142" s="374"/>
      <c r="AX142" s="374"/>
      <c r="AY142" s="374"/>
      <c r="AZ142" s="375"/>
      <c r="BA142" s="374"/>
      <c r="BB142" s="375"/>
      <c r="BC142" s="375"/>
    </row>
    <row r="143" spans="2:55" s="370" customFormat="1" ht="22.9" customHeight="1" x14ac:dyDescent="0.2">
      <c r="B143" s="370">
        <v>59</v>
      </c>
      <c r="C143" s="370" t="s">
        <v>814</v>
      </c>
      <c r="D143" s="377" t="s">
        <v>1234</v>
      </c>
      <c r="E143" s="375"/>
      <c r="F143" s="375" t="s">
        <v>701</v>
      </c>
      <c r="G143" s="378">
        <v>1</v>
      </c>
      <c r="H143" s="407"/>
      <c r="I143" s="399"/>
      <c r="J143" s="397">
        <f t="shared" si="6"/>
        <v>0</v>
      </c>
      <c r="K143" s="375"/>
      <c r="L143" s="375"/>
      <c r="O143" s="376"/>
      <c r="P143" s="376"/>
      <c r="Q143" s="376"/>
      <c r="AH143" s="375"/>
      <c r="AJ143" s="375"/>
      <c r="AK143" s="375"/>
      <c r="AU143" s="374"/>
      <c r="AV143" s="374"/>
      <c r="AW143" s="374"/>
      <c r="AX143" s="374"/>
      <c r="AY143" s="374"/>
      <c r="AZ143" s="375"/>
      <c r="BA143" s="374"/>
      <c r="BB143" s="375"/>
      <c r="BC143" s="375"/>
    </row>
    <row r="144" spans="2:55" s="370" customFormat="1" ht="52.35" customHeight="1" x14ac:dyDescent="0.2">
      <c r="B144" s="370">
        <v>60</v>
      </c>
      <c r="C144" s="370" t="s">
        <v>814</v>
      </c>
      <c r="D144" s="377" t="s">
        <v>1235</v>
      </c>
      <c r="E144" s="375"/>
      <c r="F144" s="375" t="s">
        <v>701</v>
      </c>
      <c r="G144" s="378">
        <v>1</v>
      </c>
      <c r="H144" s="407"/>
      <c r="I144" s="399"/>
      <c r="J144" s="397">
        <f t="shared" si="6"/>
        <v>0</v>
      </c>
      <c r="K144" s="375"/>
      <c r="L144" s="375"/>
      <c r="O144" s="376"/>
      <c r="P144" s="376"/>
      <c r="Q144" s="376"/>
      <c r="AH144" s="375"/>
      <c r="AJ144" s="375"/>
      <c r="AK144" s="375"/>
      <c r="AU144" s="374"/>
      <c r="AV144" s="374"/>
      <c r="AW144" s="374"/>
      <c r="AX144" s="374"/>
      <c r="AY144" s="374"/>
      <c r="AZ144" s="375"/>
      <c r="BA144" s="374"/>
      <c r="BB144" s="375"/>
      <c r="BC144" s="375"/>
    </row>
    <row r="145" spans="2:55" s="370" customFormat="1" ht="39.4" customHeight="1" x14ac:dyDescent="0.2">
      <c r="B145" s="370">
        <v>61</v>
      </c>
      <c r="C145" s="370" t="s">
        <v>814</v>
      </c>
      <c r="D145" s="377" t="s">
        <v>1236</v>
      </c>
      <c r="E145" s="375"/>
      <c r="F145" s="375" t="s">
        <v>701</v>
      </c>
      <c r="G145" s="378">
        <v>1</v>
      </c>
      <c r="H145" s="407"/>
      <c r="I145" s="399"/>
      <c r="J145" s="397">
        <f t="shared" si="6"/>
        <v>0</v>
      </c>
      <c r="K145" s="375"/>
      <c r="L145" s="375"/>
      <c r="O145" s="376"/>
      <c r="P145" s="376"/>
      <c r="Q145" s="376"/>
      <c r="AH145" s="375"/>
      <c r="AJ145" s="375"/>
      <c r="AK145" s="375"/>
      <c r="AU145" s="374"/>
      <c r="AV145" s="374"/>
      <c r="AW145" s="374"/>
      <c r="AX145" s="374"/>
      <c r="AY145" s="374"/>
      <c r="AZ145" s="375"/>
      <c r="BA145" s="374"/>
      <c r="BB145" s="375"/>
      <c r="BC145" s="375"/>
    </row>
    <row r="146" spans="2:55" s="344" customFormat="1" ht="22.9" customHeight="1" x14ac:dyDescent="0.2"/>
    <row r="65316" s="344" customFormat="1" ht="12.75" customHeight="1" x14ac:dyDescent="0.2"/>
    <row r="65317" s="344" customFormat="1" ht="12.75" customHeight="1" x14ac:dyDescent="0.2"/>
    <row r="65318" s="344" customFormat="1" ht="12.75" customHeight="1" x14ac:dyDescent="0.2"/>
    <row r="65319" s="344" customFormat="1" ht="12.75" customHeight="1" x14ac:dyDescent="0.2"/>
    <row r="65320" s="344" customFormat="1" ht="12.75" customHeight="1" x14ac:dyDescent="0.2"/>
    <row r="65321" s="344" customFormat="1" ht="12.75" customHeight="1" x14ac:dyDescent="0.2"/>
    <row r="65322" s="344" customFormat="1" ht="12.75" customHeight="1" x14ac:dyDescent="0.2"/>
    <row r="65323" s="344" customFormat="1" ht="12.75" customHeight="1" x14ac:dyDescent="0.2"/>
    <row r="65324" s="344" customFormat="1" ht="12.75" customHeight="1" x14ac:dyDescent="0.2"/>
    <row r="65325" s="344" customFormat="1" ht="12.75" customHeight="1" x14ac:dyDescent="0.2"/>
    <row r="65326" s="344" customFormat="1" ht="12.75" customHeight="1" x14ac:dyDescent="0.2"/>
    <row r="65327" s="344" customFormat="1" ht="12.75" customHeight="1" x14ac:dyDescent="0.2"/>
    <row r="65328" s="344" customFormat="1" ht="12.75" customHeight="1" x14ac:dyDescent="0.2"/>
    <row r="65329" s="344" customFormat="1" ht="12.75" customHeight="1" x14ac:dyDescent="0.2"/>
    <row r="65330" s="344" customFormat="1" ht="12.75" customHeight="1" x14ac:dyDescent="0.2"/>
    <row r="65331" s="344" customFormat="1" ht="12.75" customHeight="1" x14ac:dyDescent="0.2"/>
    <row r="65332" s="344" customFormat="1" ht="12.75" customHeight="1" x14ac:dyDescent="0.2"/>
    <row r="65333" s="344" customFormat="1" ht="12.75" customHeight="1" x14ac:dyDescent="0.2"/>
    <row r="65334" s="344" customFormat="1" ht="12.75" customHeight="1" x14ac:dyDescent="0.2"/>
    <row r="65335" s="344" customFormat="1" ht="12.75" customHeight="1" x14ac:dyDescent="0.2"/>
    <row r="65336" s="344" customFormat="1" ht="12.75" customHeight="1" x14ac:dyDescent="0.2"/>
    <row r="65337" s="344" customFormat="1" ht="12.75" customHeight="1" x14ac:dyDescent="0.2"/>
    <row r="65338" s="344" customFormat="1" ht="12.75" customHeight="1" x14ac:dyDescent="0.2"/>
    <row r="65339" s="344" customFormat="1" ht="12.75" customHeight="1" x14ac:dyDescent="0.2"/>
    <row r="65340" s="344" customFormat="1" ht="12.75" customHeight="1" x14ac:dyDescent="0.2"/>
    <row r="65341" s="344" customFormat="1" ht="12.75" customHeight="1" x14ac:dyDescent="0.2"/>
    <row r="65342" s="344" customFormat="1" ht="12.75" customHeight="1" x14ac:dyDescent="0.2"/>
    <row r="65343" s="344" customFormat="1" ht="12.75" customHeight="1" x14ac:dyDescent="0.2"/>
    <row r="65344" s="344" customFormat="1" ht="12.75" customHeight="1" x14ac:dyDescent="0.2"/>
    <row r="65345" s="344" customFormat="1" ht="12.75" customHeight="1" x14ac:dyDescent="0.2"/>
    <row r="65346" s="344" customFormat="1" ht="12.75" customHeight="1" x14ac:dyDescent="0.2"/>
    <row r="65347" s="344" customFormat="1" ht="12.75" customHeight="1" x14ac:dyDescent="0.2"/>
    <row r="65348" s="344" customFormat="1" ht="12.75" customHeight="1" x14ac:dyDescent="0.2"/>
    <row r="65349" s="344" customFormat="1" ht="12.75" customHeight="1" x14ac:dyDescent="0.2"/>
    <row r="65350" s="344" customFormat="1" ht="12.75" customHeight="1" x14ac:dyDescent="0.2"/>
    <row r="65351" s="344" customFormat="1" ht="12.75" customHeight="1" x14ac:dyDescent="0.2"/>
    <row r="65352" s="344" customFormat="1" ht="12.75" customHeight="1" x14ac:dyDescent="0.2"/>
    <row r="65353" s="344" customFormat="1" ht="12.75" customHeight="1" x14ac:dyDescent="0.2"/>
    <row r="65354" s="344" customFormat="1" ht="12.75" customHeight="1" x14ac:dyDescent="0.2"/>
    <row r="65355" s="344" customFormat="1" ht="12.75" customHeight="1" x14ac:dyDescent="0.2"/>
    <row r="65356" s="344" customFormat="1" ht="12.75" customHeight="1" x14ac:dyDescent="0.2"/>
    <row r="65357" s="344" customFormat="1" ht="12.75" customHeight="1" x14ac:dyDescent="0.2"/>
    <row r="65358" s="344" customFormat="1" ht="12.75" customHeight="1" x14ac:dyDescent="0.2"/>
    <row r="65359" s="344" customFormat="1" ht="12.75" customHeight="1" x14ac:dyDescent="0.2"/>
    <row r="65360" s="344" customFormat="1" ht="12.75" customHeight="1" x14ac:dyDescent="0.2"/>
    <row r="65361" s="344" customFormat="1" ht="12.75" customHeight="1" x14ac:dyDescent="0.2"/>
    <row r="65362" s="344" customFormat="1" ht="12.75" customHeight="1" x14ac:dyDescent="0.2"/>
    <row r="65363" s="344" customFormat="1" ht="12.75" customHeight="1" x14ac:dyDescent="0.2"/>
    <row r="65364" s="344" customFormat="1" ht="12.75" customHeight="1" x14ac:dyDescent="0.2"/>
    <row r="65365" s="344" customFormat="1" ht="12.75" customHeight="1" x14ac:dyDescent="0.2"/>
    <row r="65366" s="344" customFormat="1" ht="12.75" customHeight="1" x14ac:dyDescent="0.2"/>
    <row r="65367" s="344" customFormat="1" ht="12.75" customHeight="1" x14ac:dyDescent="0.2"/>
    <row r="65368" s="344" customFormat="1" ht="12.75" customHeight="1" x14ac:dyDescent="0.2"/>
    <row r="65369" s="344" customFormat="1" ht="12.75" customHeight="1" x14ac:dyDescent="0.2"/>
    <row r="65370" s="344" customFormat="1" ht="12.75" customHeight="1" x14ac:dyDescent="0.2"/>
    <row r="65371" s="344" customFormat="1" ht="12.75" customHeight="1" x14ac:dyDescent="0.2"/>
    <row r="65372" s="344" customFormat="1" ht="12.75" customHeight="1" x14ac:dyDescent="0.2"/>
    <row r="65373" s="344" customFormat="1" ht="12.75" customHeight="1" x14ac:dyDescent="0.2"/>
    <row r="65374" s="344" customFormat="1" ht="12.75" customHeight="1" x14ac:dyDescent="0.2"/>
    <row r="65375" s="344" customFormat="1" ht="12.75" customHeight="1" x14ac:dyDescent="0.2"/>
    <row r="65376" s="344" customFormat="1" ht="12.75" customHeight="1" x14ac:dyDescent="0.2"/>
    <row r="65377" s="344" customFormat="1" ht="12.75" customHeight="1" x14ac:dyDescent="0.2"/>
    <row r="65378" s="344" customFormat="1" ht="12.75" customHeight="1" x14ac:dyDescent="0.2"/>
    <row r="65379" s="344" customFormat="1" ht="12.75" customHeight="1" x14ac:dyDescent="0.2"/>
    <row r="65380" s="344" customFormat="1" ht="12.75" customHeight="1" x14ac:dyDescent="0.2"/>
    <row r="65381" s="344" customFormat="1" ht="12.75" customHeight="1" x14ac:dyDescent="0.2"/>
    <row r="65382" s="344" customFormat="1" ht="12.75" customHeight="1" x14ac:dyDescent="0.2"/>
    <row r="65383" s="344" customFormat="1" ht="12.75" customHeight="1" x14ac:dyDescent="0.2"/>
    <row r="65384" s="344" customFormat="1" ht="12.75" customHeight="1" x14ac:dyDescent="0.2"/>
    <row r="65385" s="344" customFormat="1" ht="12.75" customHeight="1" x14ac:dyDescent="0.2"/>
    <row r="65386" s="344" customFormat="1" ht="12.75" customHeight="1" x14ac:dyDescent="0.2"/>
    <row r="65387" s="344" customFormat="1" ht="12.75" customHeight="1" x14ac:dyDescent="0.2"/>
    <row r="65388" s="344" customFormat="1" ht="12.75" customHeight="1" x14ac:dyDescent="0.2"/>
    <row r="65389" s="344" customFormat="1" ht="12.75" customHeight="1" x14ac:dyDescent="0.2"/>
    <row r="65390" s="344" customFormat="1" ht="12.75" customHeight="1" x14ac:dyDescent="0.2"/>
    <row r="65391" s="344" customFormat="1" ht="12.75" customHeight="1" x14ac:dyDescent="0.2"/>
    <row r="65392" s="344" customFormat="1" ht="12.75" customHeight="1" x14ac:dyDescent="0.2"/>
    <row r="65393" s="344" customFormat="1" ht="12.75" customHeight="1" x14ac:dyDescent="0.2"/>
    <row r="65394" s="344" customFormat="1" ht="12.75" customHeight="1" x14ac:dyDescent="0.2"/>
    <row r="65395" s="344" customFormat="1" ht="12.75" customHeight="1" x14ac:dyDescent="0.2"/>
    <row r="65396" s="344" customFormat="1" ht="12.75" customHeight="1" x14ac:dyDescent="0.2"/>
    <row r="65397" s="344" customFormat="1" ht="12.75" customHeight="1" x14ac:dyDescent="0.2"/>
    <row r="65398" s="344" customFormat="1" ht="12.75" customHeight="1" x14ac:dyDescent="0.2"/>
    <row r="65399" s="344" customFormat="1" ht="12.75" customHeight="1" x14ac:dyDescent="0.2"/>
    <row r="65400" s="344" customFormat="1" ht="12.75" customHeight="1" x14ac:dyDescent="0.2"/>
    <row r="65401" s="344" customFormat="1" ht="12.75" customHeight="1" x14ac:dyDescent="0.2"/>
    <row r="65402" s="344" customFormat="1" ht="12.75" customHeight="1" x14ac:dyDescent="0.2"/>
    <row r="65403" s="344" customFormat="1" ht="12.75" customHeight="1" x14ac:dyDescent="0.2"/>
    <row r="65404" s="344" customFormat="1" ht="12.75" customHeight="1" x14ac:dyDescent="0.2"/>
    <row r="65405" s="344" customFormat="1" ht="12.75" customHeight="1" x14ac:dyDescent="0.2"/>
    <row r="65406" s="344" customFormat="1" ht="12.75" customHeight="1" x14ac:dyDescent="0.2"/>
    <row r="65407" s="344" customFormat="1" ht="12.75" customHeight="1" x14ac:dyDescent="0.2"/>
    <row r="65408" s="344" customFormat="1" ht="12.75" customHeight="1" x14ac:dyDescent="0.2"/>
    <row r="65409" s="344" customFormat="1" ht="12.75" customHeight="1" x14ac:dyDescent="0.2"/>
    <row r="65410" s="344" customFormat="1" ht="12.75" customHeight="1" x14ac:dyDescent="0.2"/>
    <row r="65411" s="344" customFormat="1" ht="12.75" customHeight="1" x14ac:dyDescent="0.2"/>
    <row r="65412" s="344" customFormat="1" ht="12.75" customHeight="1" x14ac:dyDescent="0.2"/>
    <row r="65413" s="344" customFormat="1" ht="12.75" customHeight="1" x14ac:dyDescent="0.2"/>
    <row r="65414" s="344" customFormat="1" ht="12.75" customHeight="1" x14ac:dyDescent="0.2"/>
    <row r="65415" s="344" customFormat="1" ht="12.75" customHeight="1" x14ac:dyDescent="0.2"/>
    <row r="65416" s="344" customFormat="1" ht="12.75" customHeight="1" x14ac:dyDescent="0.2"/>
    <row r="65417" s="344" customFormat="1" ht="12.75" customHeight="1" x14ac:dyDescent="0.2"/>
    <row r="65418" s="344" customFormat="1" ht="12.75" customHeight="1" x14ac:dyDescent="0.2"/>
    <row r="65419" s="344" customFormat="1" ht="12.75" customHeight="1" x14ac:dyDescent="0.2"/>
    <row r="65420" s="344" customFormat="1" ht="12.75" customHeight="1" x14ac:dyDescent="0.2"/>
    <row r="65421" s="344" customFormat="1" ht="12.75" customHeight="1" x14ac:dyDescent="0.2"/>
    <row r="65422" s="344" customFormat="1" ht="12.75" customHeight="1" x14ac:dyDescent="0.2"/>
    <row r="65423" s="344" customFormat="1" ht="12.75" customHeight="1" x14ac:dyDescent="0.2"/>
    <row r="65424" s="344" customFormat="1" ht="12.75" customHeight="1" x14ac:dyDescent="0.2"/>
    <row r="65425" s="344" customFormat="1" ht="12.75" customHeight="1" x14ac:dyDescent="0.2"/>
    <row r="65426" s="344" customFormat="1" ht="12.75" customHeight="1" x14ac:dyDescent="0.2"/>
    <row r="65427" s="344" customFormat="1" ht="12.75" customHeight="1" x14ac:dyDescent="0.2"/>
    <row r="65428" s="344" customFormat="1" ht="12.75" customHeight="1" x14ac:dyDescent="0.2"/>
    <row r="65429" s="344" customFormat="1" ht="12.75" customHeight="1" x14ac:dyDescent="0.2"/>
    <row r="65430" s="344" customFormat="1" ht="12.75" customHeight="1" x14ac:dyDescent="0.2"/>
    <row r="65431" s="344" customFormat="1" ht="12.75" customHeight="1" x14ac:dyDescent="0.2"/>
    <row r="65432" s="344" customFormat="1" ht="12.75" customHeight="1" x14ac:dyDescent="0.2"/>
    <row r="65433" s="344" customFormat="1" ht="12.75" customHeight="1" x14ac:dyDescent="0.2"/>
    <row r="65434" s="344" customFormat="1" ht="12.75" customHeight="1" x14ac:dyDescent="0.2"/>
    <row r="65435" s="344" customFormat="1" ht="12.75" customHeight="1" x14ac:dyDescent="0.2"/>
    <row r="65436" s="344" customFormat="1" ht="12.75" customHeight="1" x14ac:dyDescent="0.2"/>
    <row r="65437" s="344" customFormat="1" ht="12.75" customHeight="1" x14ac:dyDescent="0.2"/>
    <row r="65438" s="344" customFormat="1" ht="12.75" customHeight="1" x14ac:dyDescent="0.2"/>
    <row r="65439" s="344" customFormat="1" ht="12.75" customHeight="1" x14ac:dyDescent="0.2"/>
    <row r="65440" s="344" customFormat="1" ht="12.75" customHeight="1" x14ac:dyDescent="0.2"/>
    <row r="65441" s="344" customFormat="1" ht="12.75" customHeight="1" x14ac:dyDescent="0.2"/>
    <row r="65442" s="344" customFormat="1" ht="12.75" customHeight="1" x14ac:dyDescent="0.2"/>
    <row r="65443" s="344" customFormat="1" ht="12.75" customHeight="1" x14ac:dyDescent="0.2"/>
    <row r="65444" s="344" customFormat="1" ht="12.75" customHeight="1" x14ac:dyDescent="0.2"/>
    <row r="65445" s="344" customFormat="1" ht="12.75" customHeight="1" x14ac:dyDescent="0.2"/>
    <row r="65446" s="344" customFormat="1" ht="12.75" customHeight="1" x14ac:dyDescent="0.2"/>
    <row r="65447" s="344" customFormat="1" ht="12.75" customHeight="1" x14ac:dyDescent="0.2"/>
    <row r="65448" s="344" customFormat="1" ht="12.75" customHeight="1" x14ac:dyDescent="0.2"/>
    <row r="65449" s="344" customFormat="1" ht="12.75" customHeight="1" x14ac:dyDescent="0.2"/>
    <row r="65450" s="344" customFormat="1" ht="12.75" customHeight="1" x14ac:dyDescent="0.2"/>
    <row r="65451" s="344" customFormat="1" ht="12.75" customHeight="1" x14ac:dyDescent="0.2"/>
    <row r="65452" s="344" customFormat="1" ht="12.75" customHeight="1" x14ac:dyDescent="0.2"/>
    <row r="65453" s="344" customFormat="1" ht="12.75" customHeight="1" x14ac:dyDescent="0.2"/>
    <row r="65454" s="344" customFormat="1" ht="12.75" customHeight="1" x14ac:dyDescent="0.2"/>
    <row r="65455" s="344" customFormat="1" ht="12.75" customHeight="1" x14ac:dyDescent="0.2"/>
    <row r="65456" s="344" customFormat="1" ht="12.75" customHeight="1" x14ac:dyDescent="0.2"/>
    <row r="65457" s="344" customFormat="1" ht="12.75" customHeight="1" x14ac:dyDescent="0.2"/>
    <row r="65458" s="344" customFormat="1" ht="12.75" customHeight="1" x14ac:dyDescent="0.2"/>
    <row r="65459" s="344" customFormat="1" ht="12.75" customHeight="1" x14ac:dyDescent="0.2"/>
    <row r="65460" s="344" customFormat="1" ht="12.75" customHeight="1" x14ac:dyDescent="0.2"/>
    <row r="65461" s="344" customFormat="1" ht="12.75" customHeight="1" x14ac:dyDescent="0.2"/>
    <row r="65462" s="344" customFormat="1" ht="12.75" customHeight="1" x14ac:dyDescent="0.2"/>
    <row r="65463" s="344" customFormat="1" ht="12.75" customHeight="1" x14ac:dyDescent="0.2"/>
    <row r="65464" s="344" customFormat="1" ht="12.75" customHeight="1" x14ac:dyDescent="0.2"/>
    <row r="65465" s="344" customFormat="1" ht="12.75" customHeight="1" x14ac:dyDescent="0.2"/>
    <row r="65466" s="344" customFormat="1" ht="12.75" customHeight="1" x14ac:dyDescent="0.2"/>
    <row r="65467" s="344" customFormat="1" ht="12.75" customHeight="1" x14ac:dyDescent="0.2"/>
    <row r="65468" s="344" customFormat="1" ht="12.75" customHeight="1" x14ac:dyDescent="0.2"/>
    <row r="65469" s="344" customFormat="1" ht="12.75" customHeight="1" x14ac:dyDescent="0.2"/>
    <row r="65470" s="344" customFormat="1" ht="12.75" customHeight="1" x14ac:dyDescent="0.2"/>
    <row r="65471" s="344" customFormat="1" ht="12.75" customHeight="1" x14ac:dyDescent="0.2"/>
    <row r="65472" s="344" customFormat="1" ht="12.75" customHeight="1" x14ac:dyDescent="0.2"/>
    <row r="65473" s="344" customFormat="1" ht="12.75" customHeight="1" x14ac:dyDescent="0.2"/>
    <row r="65474" s="344" customFormat="1" ht="12.75" customHeight="1" x14ac:dyDescent="0.2"/>
    <row r="65475" s="344" customFormat="1" ht="12.75" customHeight="1" x14ac:dyDescent="0.2"/>
    <row r="65476" s="344" customFormat="1" ht="12.75" customHeight="1" x14ac:dyDescent="0.2"/>
    <row r="65477" s="344" customFormat="1" ht="12.75" customHeight="1" x14ac:dyDescent="0.2"/>
    <row r="65478" s="344" customFormat="1" ht="12.75" customHeight="1" x14ac:dyDescent="0.2"/>
    <row r="65479" s="344" customFormat="1" ht="12.75" customHeight="1" x14ac:dyDescent="0.2"/>
    <row r="65480" s="344" customFormat="1" ht="12.75" customHeight="1" x14ac:dyDescent="0.2"/>
    <row r="65481" s="344" customFormat="1" ht="12.75" customHeight="1" x14ac:dyDescent="0.2"/>
    <row r="65482" s="344" customFormat="1" ht="12.75" customHeight="1" x14ac:dyDescent="0.2"/>
    <row r="65483" s="344" customFormat="1" ht="12.75" customHeight="1" x14ac:dyDescent="0.2"/>
    <row r="65484" s="344" customFormat="1" ht="12.75" customHeight="1" x14ac:dyDescent="0.2"/>
    <row r="65485" s="344" customFormat="1" ht="12.75" customHeight="1" x14ac:dyDescent="0.2"/>
    <row r="65486" s="344" customFormat="1" ht="12.75" customHeight="1" x14ac:dyDescent="0.2"/>
    <row r="65487" s="344" customFormat="1" ht="12.75" customHeight="1" x14ac:dyDescent="0.2"/>
    <row r="65488" s="344" customFormat="1" ht="12.75" customHeight="1" x14ac:dyDescent="0.2"/>
    <row r="65489" s="344" customFormat="1" ht="12.75" customHeight="1" x14ac:dyDescent="0.2"/>
    <row r="65490" s="344" customFormat="1" ht="12.75" customHeight="1" x14ac:dyDescent="0.2"/>
    <row r="65491" s="344" customFormat="1" ht="12.75" customHeight="1" x14ac:dyDescent="0.2"/>
    <row r="65492" s="344" customFormat="1" ht="12.75" customHeight="1" x14ac:dyDescent="0.2"/>
    <row r="65493" s="344" customFormat="1" ht="12.75" customHeight="1" x14ac:dyDescent="0.2"/>
    <row r="65494" s="344" customFormat="1" ht="12.75" customHeight="1" x14ac:dyDescent="0.2"/>
    <row r="65495" s="344" customFormat="1" ht="12.75" customHeight="1" x14ac:dyDescent="0.2"/>
    <row r="65496" s="344" customFormat="1" ht="12.75" customHeight="1" x14ac:dyDescent="0.2"/>
    <row r="65497" s="344" customFormat="1" ht="12.75" customHeight="1" x14ac:dyDescent="0.2"/>
    <row r="65498" s="344" customFormat="1" ht="12.75" customHeight="1" x14ac:dyDescent="0.2"/>
    <row r="65499" s="344" customFormat="1" ht="12.75" customHeight="1" x14ac:dyDescent="0.2"/>
    <row r="65500" s="344" customFormat="1" ht="12.75" customHeight="1" x14ac:dyDescent="0.2"/>
    <row r="65501" s="344" customFormat="1" ht="12.75" customHeight="1" x14ac:dyDescent="0.2"/>
    <row r="65502" s="344" customFormat="1" ht="12.75" customHeight="1" x14ac:dyDescent="0.2"/>
    <row r="65503" s="344" customFormat="1" ht="12.75" customHeight="1" x14ac:dyDescent="0.2"/>
    <row r="65504" s="344" customFormat="1" ht="12.75" customHeight="1" x14ac:dyDescent="0.2"/>
    <row r="65505" s="344" customFormat="1" ht="12.75" customHeight="1" x14ac:dyDescent="0.2"/>
    <row r="65506" s="344" customFormat="1" ht="12.75" customHeight="1" x14ac:dyDescent="0.2"/>
    <row r="65507" s="344" customFormat="1" ht="12.75" customHeight="1" x14ac:dyDescent="0.2"/>
    <row r="65508" s="344" customFormat="1" ht="12.75" customHeight="1" x14ac:dyDescent="0.2"/>
    <row r="65509" s="344" customFormat="1" ht="12.75" customHeight="1" x14ac:dyDescent="0.2"/>
    <row r="65510" s="344" customFormat="1" ht="12.75" customHeight="1" x14ac:dyDescent="0.2"/>
    <row r="65511" s="344" customFormat="1" ht="12.75" customHeight="1" x14ac:dyDescent="0.2"/>
    <row r="65512" s="344" customFormat="1" ht="12.75" customHeight="1" x14ac:dyDescent="0.2"/>
    <row r="65513" s="344" customFormat="1" ht="12.75" customHeight="1" x14ac:dyDescent="0.2"/>
    <row r="65514" s="344" customFormat="1" ht="12.75" customHeight="1" x14ac:dyDescent="0.2"/>
    <row r="65515" s="344" customFormat="1" ht="12.75" customHeight="1" x14ac:dyDescent="0.2"/>
    <row r="65516" s="344" customFormat="1" ht="12.75" customHeight="1" x14ac:dyDescent="0.2"/>
    <row r="65517" s="344" customFormat="1" ht="12.75" customHeight="1" x14ac:dyDescent="0.2"/>
    <row r="65518" s="344" customFormat="1" ht="12.75" customHeight="1" x14ac:dyDescent="0.2"/>
    <row r="65519" s="344" customFormat="1" ht="12.75" customHeight="1" x14ac:dyDescent="0.2"/>
    <row r="65520" s="344" customFormat="1" ht="12.75" customHeight="1" x14ac:dyDescent="0.2"/>
    <row r="65521" s="344" customFormat="1" ht="12.75" customHeight="1" x14ac:dyDescent="0.2"/>
    <row r="65522" s="344" customFormat="1" ht="12.75" customHeight="1" x14ac:dyDescent="0.2"/>
    <row r="65523" s="344" customFormat="1" ht="12.75" customHeight="1" x14ac:dyDescent="0.2"/>
    <row r="65524" s="344" customFormat="1" ht="12.75" customHeight="1" x14ac:dyDescent="0.2"/>
  </sheetData>
  <sheetProtection algorithmName="SHA-512" hashValue="oIbT0Ce28ClHpsxsajK5vmCCh+pa5wFBCnWfekUOj6OZoWmmw/r+tTvWKQQhaNIzu14hGoCu+fHIis8cIQTbaw==" saltValue="1a7QZ4hYNphX3cPTqtxq5w==" spinCount="100000" sheet="1"/>
  <mergeCells count="13">
    <mergeCell ref="D122:E122"/>
    <mergeCell ref="D108:E108"/>
    <mergeCell ref="D113:E113"/>
    <mergeCell ref="D114:E114"/>
    <mergeCell ref="D115:E115"/>
    <mergeCell ref="D120:E120"/>
    <mergeCell ref="D121:E121"/>
    <mergeCell ref="D106:E106"/>
    <mergeCell ref="D107:E107"/>
    <mergeCell ref="B1:J1"/>
    <mergeCell ref="D17:J17"/>
    <mergeCell ref="B25:J25"/>
    <mergeCell ref="B54:J54"/>
  </mergeCells>
  <pageMargins left="0.57430555555555551" right="0.35486111111111113" top="0.59027777777777779" bottom="0.59166666666666667" header="0.51180555555555551" footer="0"/>
  <pageSetup paperSize="9" scale="62" firstPageNumber="0" orientation="landscape" r:id="rId1"/>
  <headerFooter alignWithMargins="0">
    <oddFooter>&amp;CStrana &amp;P z &amp;N</oddFooter>
  </headerFooter>
  <rowBreaks count="3" manualBreakCount="3">
    <brk id="102" max="16383" man="1"/>
    <brk id="145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Stavba</vt:lpstr>
      <vt:lpstr>VzorPolozky</vt:lpstr>
      <vt:lpstr>01 01 Pol</vt:lpstr>
      <vt:lpstr>ZTI</vt:lpstr>
      <vt:lpstr>ÚT</vt:lpstr>
      <vt:lpstr>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Elektroinstalace!Excel_BuiltIn_Print_Area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Elektroinstalace!Názvy_tisku</vt:lpstr>
      <vt:lpstr>oadresa</vt:lpstr>
      <vt:lpstr>Stavba!Objednatel</vt:lpstr>
      <vt:lpstr>Stavba!Objekt</vt:lpstr>
      <vt:lpstr>'01 01 Pol'!Oblast_tisku</vt:lpstr>
      <vt:lpstr>Elektroinstalace!Oblast_tisku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Beran</dc:creator>
  <cp:lastModifiedBy>Zdenek Beran</cp:lastModifiedBy>
  <cp:lastPrinted>2019-03-19T12:27:02Z</cp:lastPrinted>
  <dcterms:created xsi:type="dcterms:W3CDTF">2009-04-08T07:15:50Z</dcterms:created>
  <dcterms:modified xsi:type="dcterms:W3CDTF">2024-04-15T16:54:25Z</dcterms:modified>
</cp:coreProperties>
</file>