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n\Documents\MIKRO PRAHA\PROJEKCE\2025\PRAHA 12\ZŠ ZÁRUBOVA\DPS\Rozpočet\Rozpočet po částech\"/>
    </mc:Choice>
  </mc:AlternateContent>
  <xr:revisionPtr revIDLastSave="0" documentId="8_{7D63D1DA-4C7C-4D11-893E-09B4F8EF414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Krycí list rozpočtu" sheetId="1" r:id="rId1"/>
    <sheet name="VORN" sheetId="2" r:id="rId2"/>
    <sheet name="Stavební rozpočet" sheetId="3" r:id="rId3"/>
    <sheet name="Dodávka kuchynského nábxtku" sheetId="7" r:id="rId4"/>
  </sheets>
  <definedNames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7" l="1"/>
  <c r="F34" i="7"/>
  <c r="F31" i="7"/>
  <c r="F30" i="7"/>
  <c r="F27" i="7"/>
  <c r="F26" i="7"/>
  <c r="F22" i="7"/>
  <c r="F21" i="7"/>
  <c r="F20" i="7"/>
  <c r="F17" i="7"/>
  <c r="F16" i="7"/>
  <c r="F15" i="7"/>
  <c r="F11" i="7"/>
  <c r="F10" i="7"/>
  <c r="F9" i="7"/>
  <c r="F6" i="7"/>
  <c r="F36" i="7" l="1"/>
  <c r="F38" i="7" s="1"/>
  <c r="H14" i="3" s="1"/>
  <c r="BI14" i="3" s="1"/>
  <c r="BC15" i="3"/>
  <c r="BV24" i="3"/>
  <c r="BI24" i="3"/>
  <c r="Y24" i="3" s="1"/>
  <c r="BC24" i="3"/>
  <c r="AO24" i="3"/>
  <c r="K24" i="3" s="1"/>
  <c r="K23" i="3" s="1"/>
  <c r="AN24" i="3"/>
  <c r="BG24" i="3" s="1"/>
  <c r="AJ24" i="3"/>
  <c r="AI24" i="3"/>
  <c r="AR23" i="3" s="1"/>
  <c r="AG24" i="3"/>
  <c r="AF24" i="3"/>
  <c r="AE24" i="3"/>
  <c r="AD24" i="3"/>
  <c r="AC24" i="3"/>
  <c r="AB24" i="3"/>
  <c r="AA24" i="3"/>
  <c r="N24" i="3"/>
  <c r="BE24" i="3" s="1"/>
  <c r="L24" i="3"/>
  <c r="J24" i="3"/>
  <c r="J23" i="3" s="1"/>
  <c r="AS23" i="3"/>
  <c r="BV22" i="3"/>
  <c r="BI22" i="3"/>
  <c r="BC22" i="3"/>
  <c r="AO22" i="3"/>
  <c r="AN22" i="3"/>
  <c r="BG22" i="3" s="1"/>
  <c r="AA22" i="3" s="1"/>
  <c r="AJ22" i="3"/>
  <c r="AI22" i="3"/>
  <c r="AG22" i="3"/>
  <c r="AF22" i="3"/>
  <c r="AE22" i="3"/>
  <c r="AD22" i="3"/>
  <c r="AC22" i="3"/>
  <c r="Y22" i="3"/>
  <c r="N22" i="3"/>
  <c r="BE22" i="3" s="1"/>
  <c r="L22" i="3"/>
  <c r="BV21" i="3"/>
  <c r="BI21" i="3"/>
  <c r="BC21" i="3"/>
  <c r="AO21" i="3"/>
  <c r="AN21" i="3"/>
  <c r="BG21" i="3" s="1"/>
  <c r="AA21" i="3" s="1"/>
  <c r="AJ21" i="3"/>
  <c r="AI21" i="3"/>
  <c r="AG21" i="3"/>
  <c r="AF21" i="3"/>
  <c r="AE21" i="3"/>
  <c r="AD21" i="3"/>
  <c r="AC21" i="3"/>
  <c r="Y21" i="3"/>
  <c r="N21" i="3"/>
  <c r="L21" i="3"/>
  <c r="BV19" i="3"/>
  <c r="BI19" i="3"/>
  <c r="BC19" i="3"/>
  <c r="AO19" i="3"/>
  <c r="AN19" i="3"/>
  <c r="BG19" i="3" s="1"/>
  <c r="AC19" i="3" s="1"/>
  <c r="AJ19" i="3"/>
  <c r="AI19" i="3"/>
  <c r="AG19" i="3"/>
  <c r="AF19" i="3"/>
  <c r="AE19" i="3"/>
  <c r="AB19" i="3"/>
  <c r="AA19" i="3"/>
  <c r="Y19" i="3"/>
  <c r="N19" i="3"/>
  <c r="BE19" i="3" s="1"/>
  <c r="L19" i="3"/>
  <c r="BV18" i="3"/>
  <c r="BI18" i="3"/>
  <c r="BC18" i="3"/>
  <c r="AO18" i="3"/>
  <c r="AN18" i="3"/>
  <c r="AJ18" i="3"/>
  <c r="AI18" i="3"/>
  <c r="AG18" i="3"/>
  <c r="AF18" i="3"/>
  <c r="AE18" i="3"/>
  <c r="AB18" i="3"/>
  <c r="AA18" i="3"/>
  <c r="Y18" i="3"/>
  <c r="N18" i="3"/>
  <c r="L18" i="3"/>
  <c r="AK18" i="3" s="1"/>
  <c r="BV16" i="3"/>
  <c r="BI16" i="3"/>
  <c r="BC16" i="3"/>
  <c r="AO16" i="3"/>
  <c r="AW16" i="3" s="1"/>
  <c r="AN16" i="3"/>
  <c r="BG16" i="3" s="1"/>
  <c r="AC16" i="3" s="1"/>
  <c r="AJ16" i="3"/>
  <c r="AI16" i="3"/>
  <c r="AG16" i="3"/>
  <c r="AF16" i="3"/>
  <c r="AE16" i="3"/>
  <c r="AB16" i="3"/>
  <c r="AA16" i="3"/>
  <c r="Y16" i="3"/>
  <c r="N16" i="3"/>
  <c r="BE16" i="3" s="1"/>
  <c r="L16" i="3"/>
  <c r="AK16" i="3" s="1"/>
  <c r="K16" i="3"/>
  <c r="BV15" i="3"/>
  <c r="BI15" i="3"/>
  <c r="AJ15" i="3"/>
  <c r="AI15" i="3"/>
  <c r="AG15" i="3"/>
  <c r="AF15" i="3"/>
  <c r="AE15" i="3"/>
  <c r="AB15" i="3"/>
  <c r="AA15" i="3"/>
  <c r="Y15" i="3"/>
  <c r="N15" i="3"/>
  <c r="BE15" i="3" s="1"/>
  <c r="L15" i="3"/>
  <c r="BV14" i="3"/>
  <c r="BC14" i="3"/>
  <c r="AO14" i="3"/>
  <c r="AN14" i="3"/>
  <c r="AJ14" i="3"/>
  <c r="AI14" i="3"/>
  <c r="AG14" i="3"/>
  <c r="AF14" i="3"/>
  <c r="AE14" i="3"/>
  <c r="AB14" i="3"/>
  <c r="AA14" i="3"/>
  <c r="Y14" i="3"/>
  <c r="N14" i="3"/>
  <c r="BE14" i="3" s="1"/>
  <c r="L14" i="3"/>
  <c r="AK14" i="3" s="1"/>
  <c r="AT1" i="3"/>
  <c r="AS1" i="3"/>
  <c r="AR1" i="3"/>
  <c r="I36" i="2"/>
  <c r="I24" i="1" s="1"/>
  <c r="I35" i="2"/>
  <c r="I26" i="2"/>
  <c r="I25" i="2"/>
  <c r="I24" i="2"/>
  <c r="I17" i="1" s="1"/>
  <c r="I23" i="2"/>
  <c r="I16" i="1" s="1"/>
  <c r="I22" i="2"/>
  <c r="I15" i="1" s="1"/>
  <c r="I17" i="2"/>
  <c r="F16" i="1" s="1"/>
  <c r="F22" i="1" s="1"/>
  <c r="I16" i="2"/>
  <c r="I15" i="2"/>
  <c r="I18" i="2" s="1"/>
  <c r="I10" i="2"/>
  <c r="F10" i="2"/>
  <c r="C10" i="2"/>
  <c r="F8" i="2"/>
  <c r="C8" i="2"/>
  <c r="F6" i="2"/>
  <c r="C6" i="2"/>
  <c r="F4" i="2"/>
  <c r="C4" i="2"/>
  <c r="F2" i="2"/>
  <c r="C2" i="2"/>
  <c r="I19" i="1"/>
  <c r="I18" i="1"/>
  <c r="F15" i="1"/>
  <c r="F14" i="1"/>
  <c r="I10" i="1"/>
  <c r="F10" i="1"/>
  <c r="C10" i="1"/>
  <c r="F8" i="1"/>
  <c r="C8" i="1"/>
  <c r="F6" i="1"/>
  <c r="C6" i="1"/>
  <c r="F4" i="1"/>
  <c r="C4" i="1"/>
  <c r="F2" i="1"/>
  <c r="C2" i="1"/>
  <c r="AN15" i="3" l="1"/>
  <c r="BG15" i="3" s="1"/>
  <c r="AC15" i="3" s="1"/>
  <c r="AO15" i="3"/>
  <c r="BH15" i="3" s="1"/>
  <c r="AD15" i="3" s="1"/>
  <c r="AV15" i="3"/>
  <c r="AS13" i="3"/>
  <c r="J21" i="3"/>
  <c r="N23" i="3"/>
  <c r="AV16" i="3"/>
  <c r="AU16" i="3" s="1"/>
  <c r="AR13" i="3"/>
  <c r="AR17" i="3"/>
  <c r="C20" i="1"/>
  <c r="BH16" i="3"/>
  <c r="AD16" i="3" s="1"/>
  <c r="AV24" i="3"/>
  <c r="AV19" i="3"/>
  <c r="AV21" i="3"/>
  <c r="J22" i="3"/>
  <c r="AK22" i="3"/>
  <c r="AK21" i="3"/>
  <c r="C29" i="1"/>
  <c r="F29" i="1" s="1"/>
  <c r="C28" i="1"/>
  <c r="AS17" i="3"/>
  <c r="J15" i="3"/>
  <c r="AK15" i="3"/>
  <c r="AT13" i="3" s="1"/>
  <c r="J16" i="3"/>
  <c r="L17" i="3"/>
  <c r="J19" i="3"/>
  <c r="AK19" i="3"/>
  <c r="AT17" i="3" s="1"/>
  <c r="L20" i="3"/>
  <c r="N17" i="3"/>
  <c r="BE18" i="3"/>
  <c r="L13" i="3"/>
  <c r="AV22" i="3"/>
  <c r="C21" i="1"/>
  <c r="N13" i="3"/>
  <c r="BG18" i="3"/>
  <c r="AC18" i="3" s="1"/>
  <c r="AV18" i="3"/>
  <c r="J18" i="3"/>
  <c r="AW19" i="3"/>
  <c r="K19" i="3"/>
  <c r="BH19" i="3"/>
  <c r="AD19" i="3" s="1"/>
  <c r="BE21" i="3"/>
  <c r="N20" i="3"/>
  <c r="AS20" i="3"/>
  <c r="BG14" i="3"/>
  <c r="AC14" i="3" s="1"/>
  <c r="AV14" i="3"/>
  <c r="J14" i="3"/>
  <c r="AW15" i="3"/>
  <c r="K15" i="3"/>
  <c r="AW18" i="3"/>
  <c r="K18" i="3"/>
  <c r="BH18" i="3"/>
  <c r="AD18" i="3" s="1"/>
  <c r="AW14" i="3"/>
  <c r="K14" i="3"/>
  <c r="BH14" i="3"/>
  <c r="AD14" i="3" s="1"/>
  <c r="AW22" i="3"/>
  <c r="K22" i="3"/>
  <c r="BH22" i="3"/>
  <c r="AB22" i="3" s="1"/>
  <c r="AK24" i="3"/>
  <c r="AT23" i="3" s="1"/>
  <c r="L23" i="3"/>
  <c r="AR20" i="3"/>
  <c r="AW21" i="3"/>
  <c r="K21" i="3"/>
  <c r="BH21" i="3"/>
  <c r="AB21" i="3" s="1"/>
  <c r="AW24" i="3"/>
  <c r="BH24" i="3"/>
  <c r="BB24" i="3" l="1"/>
  <c r="BB15" i="3"/>
  <c r="BB21" i="3"/>
  <c r="J17" i="3"/>
  <c r="L25" i="3"/>
  <c r="L27" i="3" s="1"/>
  <c r="BB16" i="3"/>
  <c r="AU19" i="3"/>
  <c r="BB19" i="3"/>
  <c r="K13" i="3"/>
  <c r="K17" i="3"/>
  <c r="AU22" i="3"/>
  <c r="J13" i="3"/>
  <c r="AT20" i="3"/>
  <c r="AU24" i="3"/>
  <c r="J20" i="3"/>
  <c r="C14" i="1"/>
  <c r="AU15" i="3"/>
  <c r="AU14" i="3"/>
  <c r="BB14" i="3"/>
  <c r="C18" i="1"/>
  <c r="K20" i="3"/>
  <c r="AU18" i="3"/>
  <c r="BB18" i="3"/>
  <c r="C19" i="1"/>
  <c r="C15" i="1"/>
  <c r="C17" i="1"/>
  <c r="BB22" i="3"/>
  <c r="AU21" i="3"/>
  <c r="C16" i="1"/>
  <c r="C22" i="1" l="1"/>
  <c r="C24" i="1" s="1"/>
  <c r="H21" i="2" s="1"/>
  <c r="I21" i="2" s="1"/>
  <c r="I27" i="2" s="1"/>
  <c r="F29" i="2" s="1"/>
  <c r="I14" i="1" l="1"/>
  <c r="I22" i="1" s="1"/>
  <c r="C30" i="1" s="1"/>
  <c r="F30" i="1" s="1"/>
  <c r="I29" i="1" l="1"/>
  <c r="I30" i="1" s="1"/>
</calcChain>
</file>

<file path=xl/sharedStrings.xml><?xml version="1.0" encoding="utf-8"?>
<sst xmlns="http://schemas.openxmlformats.org/spreadsheetml/2006/main" count="456" uniqueCount="214">
  <si>
    <t>Krycí list rozpočtu</t>
  </si>
  <si>
    <t>Název stavby:</t>
  </si>
  <si>
    <t>Objednatel:</t>
  </si>
  <si>
    <t>IČO/DIČ:</t>
  </si>
  <si>
    <t>00231151/CZ00231151</t>
  </si>
  <si>
    <t>Druh stavby:</t>
  </si>
  <si>
    <t>Projektant:</t>
  </si>
  <si>
    <t>27145611/CZ27145611</t>
  </si>
  <si>
    <t>Lokalita:</t>
  </si>
  <si>
    <t>Zhotovitel:</t>
  </si>
  <si>
    <t/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</si>
  <si>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</si>
  <si>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</si>
  <si>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</si>
  <si>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</si>
  <si>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</si>
  <si>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</si>
  <si>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</si>
  <si>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</si>
  <si>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</si>
  <si>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</si>
  <si>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</si>
  <si>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</si>
  <si>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</si>
  <si>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</si>
  <si>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</si>
  <si>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</si>
  <si>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</si>
  <si>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</si>
  <si>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</si>
  <si>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</si>
  <si>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</si>
  <si>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</si>
  <si>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</si>
  <si>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</si>
  <si>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</si>
  <si>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</si>
  <si>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</si>
  <si>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</si>
  <si>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</si>
  <si>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před slevou</t>
  </si>
  <si>
    <t>DN celkem</t>
  </si>
  <si>
    <t>NUS celkem</t>
  </si>
  <si>
    <t>Sleva %</t>
  </si>
  <si>
    <t>DN celkem z obj.</t>
  </si>
  <si>
    <t>NUS celkem z obj.</t>
  </si>
  <si>
    <t>ZRN po slevě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</si>
  <si>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</si>
  <si>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</si>
  <si>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</si>
  <si>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</si>
  <si>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</si>
  <si>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</si>
  <si>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</si>
  <si>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</si>
  <si>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</si>
  <si>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</si>
  <si>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</si>
  <si>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</si>
  <si>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</si>
  <si>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</si>
  <si>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</si>
  <si>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</si>
  <si>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</si>
  <si>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</si>
  <si>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</si>
  <si>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</si>
  <si>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</si>
  <si>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</si>
  <si>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</si>
  <si>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</si>
  <si>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</si>
  <si>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</si>
  <si>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Stavební rozpočet</t>
  </si>
  <si>
    <t>Doba výstavby:</t>
  </si>
  <si>
    <t xml:space="preserve"> </t>
  </si>
  <si>
    <t>Městská část Praha 12,Generála Šišky 2375/6, Praha</t>
  </si>
  <si>
    <t>Oprava a rekonstrukce</t>
  </si>
  <si>
    <t>MIKRO PRAHA spol s.r.</t>
  </si>
  <si>
    <t>ZÁRUBOVA 977/17, K.Ú. KAMÝK, PRAHA 12</t>
  </si>
  <si>
    <t> </t>
  </si>
  <si>
    <t>Zpracováno dne: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</si>
  <si>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</si>
  <si>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</si>
  <si>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</si>
  <si>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</si>
  <si>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</si>
  <si>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</si>
  <si>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</si>
  <si>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</si>
  <si>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</si>
  <si>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</si>
  <si>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</si>
  <si>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</si>
  <si>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</si>
  <si>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</si>
  <si>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</si>
  <si>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</si>
  <si>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</si>
  <si>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</si>
  <si>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</si>
  <si>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</si>
  <si>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</si>
  <si>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</si>
  <si>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</si>
  <si>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</si>
  <si>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</si>
  <si>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</si>
  <si>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</si>
  <si>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</si>
  <si>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</si>
  <si>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</si>
  <si>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</si>
  <si>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</si>
  <si>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Nezařazeno</t>
  </si>
  <si>
    <t>1</t>
  </si>
  <si>
    <t>m2</t>
  </si>
  <si>
    <t>_</t>
  </si>
  <si>
    <t>P</t>
  </si>
  <si>
    <t>kus</t>
  </si>
  <si>
    <t>5</t>
  </si>
  <si>
    <t>7</t>
  </si>
  <si>
    <t>t</t>
  </si>
  <si>
    <t>ks</t>
  </si>
  <si>
    <t>95</t>
  </si>
  <si>
    <t>794</t>
  </si>
  <si>
    <t>zařízení kuchyní</t>
  </si>
  <si>
    <t>250</t>
  </si>
  <si>
    <t>794112</t>
  </si>
  <si>
    <t>D+M zařízení list 4</t>
  </si>
  <si>
    <t>794_</t>
  </si>
  <si>
    <t>_79_</t>
  </si>
  <si>
    <t>251</t>
  </si>
  <si>
    <t>D+M Celkem monitoring HACCP</t>
  </si>
  <si>
    <t>252</t>
  </si>
  <si>
    <t>D+M Rozpočet inventář celkem</t>
  </si>
  <si>
    <t>795</t>
  </si>
  <si>
    <t>Vybavení ostatní</t>
  </si>
  <si>
    <t>253</t>
  </si>
  <si>
    <t>7951214VD</t>
  </si>
  <si>
    <t>D+M    Stůl jídelní 1400 x 700</t>
  </si>
  <si>
    <t>795_</t>
  </si>
  <si>
    <t>254</t>
  </si>
  <si>
    <t>7951215VD</t>
  </si>
  <si>
    <t>D+M kovová jídelní židle do školních provozů</t>
  </si>
  <si>
    <t>_9_</t>
  </si>
  <si>
    <t>Různé dokončovací konstrukce a práce na pozemních stavbách</t>
  </si>
  <si>
    <t>261</t>
  </si>
  <si>
    <t>952901111R00</t>
  </si>
  <si>
    <t>Vyčištění budov o výšce podlaží do 4 m</t>
  </si>
  <si>
    <t>95_</t>
  </si>
  <si>
    <t>262</t>
  </si>
  <si>
    <t>952902110R00</t>
  </si>
  <si>
    <t>Zametání v místnostech, chodbách, na  schodišti prúběžné po dobu výstavby denně dle potřebby</t>
  </si>
  <si>
    <t>H99</t>
  </si>
  <si>
    <t>Ostatní přesuny hmot</t>
  </si>
  <si>
    <t>287</t>
  </si>
  <si>
    <t>999281148R00</t>
  </si>
  <si>
    <t>Přesun hmot pro opravy a údržbu do v. 12 m,nošením</t>
  </si>
  <si>
    <t>H99_</t>
  </si>
  <si>
    <t>Celkem před slevou:</t>
  </si>
  <si>
    <t>Celková sleva (%):</t>
  </si>
  <si>
    <t>Celkem po slevě:</t>
  </si>
  <si>
    <t>poz</t>
  </si>
  <si>
    <t>název zařízení</t>
  </si>
  <si>
    <t>rozměry mm</t>
  </si>
  <si>
    <t>cena bez DPH/ks</t>
  </si>
  <si>
    <t>cena celkem</t>
  </si>
  <si>
    <t>typ zařízení</t>
  </si>
  <si>
    <t>1. NP</t>
  </si>
  <si>
    <t>stávající</t>
  </si>
  <si>
    <t>S4</t>
  </si>
  <si>
    <t>S5</t>
  </si>
  <si>
    <t>1a</t>
  </si>
  <si>
    <t>1b</t>
  </si>
  <si>
    <t>1.16 Úklidová komora</t>
  </si>
  <si>
    <r>
      <rPr>
        <b/>
        <sz val="8"/>
        <rFont val="Arial"/>
        <family val="2"/>
        <charset val="238"/>
      </rPr>
      <t>Skříňka závěsná</t>
    </r>
    <r>
      <rPr>
        <sz val="8"/>
        <rFont val="Arial"/>
        <family val="2"/>
        <charset val="238"/>
      </rPr>
      <t xml:space="preserve"> • Dvířka • Police • Korpus – laminovaná dřevotříska DTDL • Dveře 18 mm • Dekor a úchytky podle výběru uživatele</t>
    </r>
  </si>
  <si>
    <t>800x400x800</t>
  </si>
  <si>
    <t xml:space="preserve">1.21 Denní místnost </t>
  </si>
  <si>
    <r>
      <rPr>
        <b/>
        <sz val="8"/>
        <color rgb="FF000000"/>
        <rFont val="Arial"/>
        <family val="2"/>
        <charset val="238"/>
      </rPr>
      <t xml:space="preserve">Sestava kuchyňských horních a spodních skříněk </t>
    </r>
    <r>
      <rPr>
        <sz val="8"/>
        <color rgb="FF000000"/>
        <rFont val="Arial"/>
        <family val="2"/>
        <charset val="238"/>
      </rPr>
      <t>• Nerez dřez s odkapní plochou a baterií • 2 horní a 2 spodní skříňky s plnými dvířky a jednou policí • Korpusy – laminovaná dřevotříska DTDL • Pracovní deska postformingová • Dveře 18 mm • Dekor a úchytky podle výběru uživatele</t>
    </r>
  </si>
  <si>
    <t>spodní skříňky 1500x600x850, horní skříňky 1500x300x700</t>
  </si>
  <si>
    <r>
      <rPr>
        <b/>
        <sz val="8"/>
        <rFont val="Arial"/>
        <family val="2"/>
        <charset val="238"/>
      </rPr>
      <t>Stůl</t>
    </r>
    <r>
      <rPr>
        <sz val="8"/>
        <rFont val="Arial"/>
        <family val="2"/>
        <charset val="238"/>
      </rPr>
      <t xml:space="preserve"> • PD laminovaná dřevotříska DTDL • Kovové podnoží • Dekor podle výběru uživatele</t>
    </r>
  </si>
  <si>
    <t>1800x700x860</t>
  </si>
  <si>
    <t>Židle</t>
  </si>
  <si>
    <t>1.23 Kancelář vedoucí jídelny</t>
  </si>
  <si>
    <r>
      <rPr>
        <b/>
        <sz val="8"/>
        <rFont val="Arial"/>
        <family val="2"/>
        <charset val="238"/>
      </rPr>
      <t>Psací stůl</t>
    </r>
    <r>
      <rPr>
        <sz val="8"/>
        <rFont val="Arial"/>
        <family val="2"/>
        <charset val="238"/>
      </rPr>
      <t xml:space="preserve"> • Zásuvkový blok na kolečkách 400x500x600 • Zámek • Korpus – laminovaná dřevotříska DTDL • Částečná spodní police cca 250 pro počítač • Dekor a úchytky podle výběru uživatele</t>
    </r>
  </si>
  <si>
    <t xml:space="preserve">2700x800x760 </t>
  </si>
  <si>
    <r>
      <rPr>
        <b/>
        <sz val="8"/>
        <rFont val="Arial"/>
        <family val="2"/>
        <charset val="238"/>
      </rPr>
      <t>Psací stůl</t>
    </r>
    <r>
      <rPr>
        <sz val="8"/>
        <rFont val="Arial"/>
        <family val="2"/>
        <charset val="238"/>
      </rPr>
      <t xml:space="preserve"> • Zásuvka • Zámek • Korpus – laminovaná dřevotříska DTDL • Částečná spodní police cca 250 pro počítač • Dekor a úchytky podle výběru uživatele</t>
    </r>
  </si>
  <si>
    <t>1300x600x760</t>
  </si>
  <si>
    <r>
      <rPr>
        <b/>
        <sz val="8"/>
        <rFont val="Arial"/>
        <family val="2"/>
        <charset val="238"/>
      </rPr>
      <t xml:space="preserve">Pracovní židle </t>
    </r>
    <r>
      <rPr>
        <sz val="8"/>
        <rFont val="Arial"/>
        <family val="2"/>
        <charset val="238"/>
      </rPr>
      <t>na kolečkách s látkovým čalouněním • Houpací mechanika s nastavením protiváhy • Plastové područky pro oporu loktů • Sedák se šířkou 50 cm a hloubkou 52 cm • Opěrák s výškou 70 cm • Ocelový kříž, nosnost 150 kg • Kolečka pro tvrdé podlahy</t>
    </r>
  </si>
  <si>
    <t xml:space="preserve">Stůl </t>
  </si>
  <si>
    <t>600x600x500</t>
  </si>
  <si>
    <t>Křeslo</t>
  </si>
  <si>
    <r>
      <rPr>
        <b/>
        <sz val="8"/>
        <rFont val="Arial"/>
        <family val="2"/>
        <charset val="238"/>
      </rPr>
      <t>Skříň šatní a nástavec</t>
    </r>
    <r>
      <rPr>
        <sz val="8"/>
        <rFont val="Arial"/>
        <family val="2"/>
        <charset val="238"/>
      </rPr>
      <t xml:space="preserve"> • Korpus – laminovaná dřevotříska DTDL • Dveře 18 mm • Nástavec výška 800  • Dekor a úchytky podle výběru uživatele</t>
    </r>
  </si>
  <si>
    <t>600x600x2000+600x600x800</t>
  </si>
  <si>
    <r>
      <rPr>
        <b/>
        <sz val="8"/>
        <rFont val="Arial"/>
        <family val="2"/>
        <charset val="238"/>
      </rPr>
      <t>Skříň policová a nástavec</t>
    </r>
    <r>
      <rPr>
        <sz val="8"/>
        <rFont val="Arial"/>
        <family val="2"/>
        <charset val="238"/>
      </rPr>
      <t xml:space="preserve"> •  Korpus – laminovaná dřevotříska DTDL • Dveře 18 mm • Nástavec výška 800  •  Dekor a úchytky podle výběru uživatele</t>
    </r>
  </si>
  <si>
    <r>
      <rPr>
        <b/>
        <sz val="8"/>
        <rFont val="Arial"/>
        <family val="2"/>
        <charset val="238"/>
      </rPr>
      <t xml:space="preserve">Sestava kancelářský nábytek a nástavec </t>
    </r>
    <r>
      <rPr>
        <sz val="8"/>
        <rFont val="Arial"/>
        <family val="2"/>
        <charset val="238"/>
      </rPr>
      <t>•   Spodní uzavřené skříňky s policí do výšky 800 •   Vrchní skříňky uzavřené výška 700 • Nástavec výška 800 •  Dekor a úchytky podle výběru uživatele</t>
    </r>
  </si>
  <si>
    <t>2000x600x2000+2000x600x800</t>
  </si>
  <si>
    <t>1. PP</t>
  </si>
  <si>
    <t xml:space="preserve">01.03 Šatna ženy </t>
  </si>
  <si>
    <r>
      <rPr>
        <b/>
        <sz val="8"/>
        <rFont val="Arial"/>
        <family val="2"/>
        <charset val="238"/>
      </rPr>
      <t>Šatní skříň</t>
    </r>
    <r>
      <rPr>
        <sz val="8"/>
        <rFont val="Arial"/>
        <family val="2"/>
        <charset val="238"/>
      </rPr>
      <t xml:space="preserve">  • Dvířka • Police • Korpus – laminovaná dřevotříska DTDL • Dveře 18 mm • Vrchní a spodní police • Rozdělení na část "čistou" a "špinavou" • Tyče na ramínka • Dekor a úchytky podle výběru uživatele</t>
    </r>
  </si>
  <si>
    <t>600x500x2000</t>
  </si>
  <si>
    <r>
      <rPr>
        <b/>
        <sz val="8"/>
        <rFont val="Arial"/>
        <family val="2"/>
        <charset val="238"/>
      </rPr>
      <t>Šatní lavice</t>
    </r>
    <r>
      <rPr>
        <sz val="8"/>
        <rFont val="Arial"/>
        <family val="2"/>
        <charset val="238"/>
      </rPr>
      <t xml:space="preserve"> • Sedák laminovaná dřevotříska DTDL • Kovová konstrukce s povrchovým lakem</t>
    </r>
  </si>
  <si>
    <t>600x370x300</t>
  </si>
  <si>
    <t xml:space="preserve">01.05Šatna muži </t>
  </si>
  <si>
    <t xml:space="preserve"> 01.19 Úklidová komora</t>
  </si>
  <si>
    <t>1100x300x800</t>
  </si>
  <si>
    <t>REKONSTRUKCE KUCHYNĚ -  ZŠ ZÁRUBOVA   technologie kuchyně a zařízení jídelny</t>
  </si>
  <si>
    <t>RTS /Vlastní</t>
  </si>
  <si>
    <t xml:space="preserve">Přesné rozměry nábytku nutno doměřit dle skutečné stavby. Uváděné rozměry jsou v mm (š x hl x v). </t>
  </si>
  <si>
    <t>Celkem vybavení bez DPH</t>
  </si>
  <si>
    <t>Instalace a doprava</t>
  </si>
  <si>
    <t>Rozpočet vybavení celkem bez DPH</t>
  </si>
  <si>
    <t>D+M zařízení list 4 dodávka nábytku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</si>
</sst>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  <charset val="1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AEAEA"/>
        <bgColor rgb="FFEAEAEA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4" fillId="0" borderId="79"/>
    <xf numFmtId="0" fontId="19" fillId="0" borderId="79"/>
    <xf numFmtId="0" fontId="14" fillId="0" borderId="79"/>
    <xf numFmtId="0" fontId="19" fillId="0" borderId="79"/>
    <xf numFmtId="0" fontId="19" fillId="0" borderId="79"/>
    <xf numFmtId="0" fontId="19" fillId="0" borderId="79"/>
    <xf numFmtId="0" fontId="21" fillId="0" borderId="79"/>
    <xf numFmtId="0" fontId="14" fillId="0" borderId="79"/>
    <xf numFmtId="0" fontId="21" fillId="0" borderId="79"/>
  </cellStyleXfs>
  <cellXfs count="224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" fillId="3" borderId="77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center"/>
    </xf>
    <xf numFmtId="4" fontId="3" fillId="3" borderId="40" xfId="0" applyNumberFormat="1" applyFont="1" applyFill="1" applyBorder="1" applyAlignment="1">
      <alignment horizontal="right" vertical="center"/>
    </xf>
    <xf numFmtId="0" fontId="3" fillId="3" borderId="40" xfId="0" applyFont="1" applyFill="1" applyBorder="1" applyAlignment="1">
      <alignment horizontal="right" vertical="center"/>
    </xf>
    <xf numFmtId="0" fontId="3" fillId="3" borderId="78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3" fillId="0" borderId="79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80" xfId="0" applyFont="1" applyBorder="1" applyAlignment="1">
      <alignment horizontal="center" vertical="top" wrapText="1"/>
    </xf>
    <xf numFmtId="0" fontId="10" fillId="0" borderId="80" xfId="0" applyFont="1" applyBorder="1" applyAlignment="1">
      <alignment horizontal="right" vertical="top" wrapText="1"/>
    </xf>
    <xf numFmtId="4" fontId="11" fillId="0" borderId="81" xfId="0" applyNumberFormat="1" applyFont="1" applyBorder="1" applyAlignment="1">
      <alignment horizontal="center" vertical="top" wrapText="1"/>
    </xf>
    <xf numFmtId="4" fontId="10" fillId="0" borderId="80" xfId="0" applyNumberFormat="1" applyFont="1" applyBorder="1" applyAlignment="1">
      <alignment horizontal="right" vertical="top" wrapText="1"/>
    </xf>
    <xf numFmtId="4" fontId="11" fillId="0" borderId="80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/>
    <xf numFmtId="0" fontId="12" fillId="0" borderId="0" xfId="0" applyFont="1"/>
    <xf numFmtId="0" fontId="10" fillId="0" borderId="83" xfId="0" applyFont="1" applyBorder="1" applyAlignment="1">
      <alignment horizontal="center" vertical="top" wrapText="1"/>
    </xf>
    <xf numFmtId="0" fontId="10" fillId="0" borderId="83" xfId="0" applyFont="1" applyBorder="1" applyAlignment="1">
      <alignment horizontal="right" vertical="top" wrapText="1"/>
    </xf>
    <xf numFmtId="4" fontId="11" fillId="0" borderId="83" xfId="0" applyNumberFormat="1" applyFont="1" applyBorder="1" applyAlignment="1">
      <alignment horizontal="center" vertical="top" wrapText="1"/>
    </xf>
    <xf numFmtId="4" fontId="10" fillId="0" borderId="83" xfId="0" applyNumberFormat="1" applyFont="1" applyBorder="1" applyAlignment="1">
      <alignment horizontal="right" vertical="top" wrapText="1"/>
    </xf>
    <xf numFmtId="0" fontId="10" fillId="0" borderId="83" xfId="1" applyFont="1" applyBorder="1" applyAlignment="1">
      <alignment horizontal="left" vertical="top" wrapText="1"/>
    </xf>
    <xf numFmtId="0" fontId="10" fillId="0" borderId="83" xfId="0" applyFont="1" applyBorder="1" applyAlignment="1">
      <alignment horizontal="left" vertical="top" wrapText="1"/>
    </xf>
    <xf numFmtId="0" fontId="16" fillId="0" borderId="83" xfId="0" applyFont="1" applyBorder="1" applyAlignment="1">
      <alignment horizontal="center" vertical="center" wrapText="1"/>
    </xf>
    <xf numFmtId="4" fontId="12" fillId="0" borderId="83" xfId="0" applyNumberFormat="1" applyFont="1" applyBorder="1" applyAlignment="1">
      <alignment horizontal="right" vertical="top" wrapText="1"/>
    </xf>
    <xf numFmtId="0" fontId="11" fillId="0" borderId="83" xfId="0" applyFont="1" applyBorder="1" applyAlignment="1">
      <alignment horizontal="left" vertical="top"/>
    </xf>
    <xf numFmtId="0" fontId="10" fillId="0" borderId="83" xfId="0" applyFont="1" applyBorder="1" applyAlignment="1">
      <alignment vertical="top" wrapText="1"/>
    </xf>
    <xf numFmtId="0" fontId="11" fillId="0" borderId="83" xfId="0" applyFont="1" applyBorder="1" applyAlignment="1">
      <alignment horizontal="center" vertical="top" wrapText="1"/>
    </xf>
    <xf numFmtId="4" fontId="11" fillId="0" borderId="83" xfId="0" applyNumberFormat="1" applyFont="1" applyBorder="1" applyAlignment="1">
      <alignment horizontal="center" vertical="top"/>
    </xf>
    <xf numFmtId="0" fontId="12" fillId="0" borderId="83" xfId="0" applyFont="1" applyBorder="1" applyAlignment="1">
      <alignment horizontal="center" vertical="top" wrapText="1"/>
    </xf>
    <xf numFmtId="0" fontId="12" fillId="0" borderId="83" xfId="0" applyFont="1" applyBorder="1" applyAlignment="1">
      <alignment vertical="top" wrapText="1"/>
    </xf>
    <xf numFmtId="4" fontId="12" fillId="0" borderId="83" xfId="0" applyNumberFormat="1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0" fillId="0" borderId="83" xfId="0" applyFont="1" applyBorder="1" applyAlignment="1">
      <alignment horizontal="center" vertical="top"/>
    </xf>
    <xf numFmtId="4" fontId="11" fillId="0" borderId="0" xfId="0" applyNumberFormat="1" applyFont="1" applyAlignment="1">
      <alignment horizontal="center" vertical="top"/>
    </xf>
    <xf numFmtId="4" fontId="11" fillId="0" borderId="0" xfId="0" applyNumberFormat="1" applyFont="1" applyAlignment="1">
      <alignment horizontal="right" vertical="top"/>
    </xf>
    <xf numFmtId="0" fontId="10" fillId="0" borderId="83" xfId="1" applyFont="1" applyBorder="1" applyAlignment="1">
      <alignment vertical="top" wrapText="1"/>
    </xf>
    <xf numFmtId="0" fontId="12" fillId="0" borderId="83" xfId="0" applyFont="1" applyBorder="1" applyAlignment="1">
      <alignment horizontal="center" wrapText="1"/>
    </xf>
    <xf numFmtId="0" fontId="15" fillId="0" borderId="83" xfId="0" applyFont="1" applyBorder="1" applyAlignment="1">
      <alignment horizontal="center" vertical="top"/>
    </xf>
    <xf numFmtId="0" fontId="15" fillId="0" borderId="8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83" xfId="0" applyFont="1" applyBorder="1" applyAlignment="1">
      <alignment horizontal="center" vertical="top"/>
    </xf>
    <xf numFmtId="0" fontId="10" fillId="0" borderId="83" xfId="1" applyFont="1" applyBorder="1" applyAlignment="1">
      <alignment horizontal="center" vertical="top" wrapText="1"/>
    </xf>
    <xf numFmtId="0" fontId="11" fillId="0" borderId="83" xfId="0" applyFont="1" applyBorder="1" applyAlignment="1">
      <alignment horizontal="center" wrapText="1"/>
    </xf>
    <xf numFmtId="0" fontId="17" fillId="0" borderId="83" xfId="0" applyFont="1" applyBorder="1" applyAlignment="1">
      <alignment horizontal="left" vertical="top" wrapText="1"/>
    </xf>
    <xf numFmtId="0" fontId="10" fillId="0" borderId="83" xfId="0" applyFont="1" applyBorder="1" applyAlignment="1">
      <alignment horizontal="center" wrapText="1"/>
    </xf>
    <xf numFmtId="0" fontId="10" fillId="0" borderId="83" xfId="0" applyFont="1" applyBorder="1" applyAlignment="1">
      <alignment wrapText="1"/>
    </xf>
    <xf numFmtId="0" fontId="20" fillId="0" borderId="83" xfId="0" applyFont="1" applyBorder="1" applyAlignment="1">
      <alignment horizontal="left" vertical="top"/>
    </xf>
    <xf numFmtId="0" fontId="11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left" wrapText="1"/>
    </xf>
    <xf numFmtId="17" fontId="15" fillId="0" borderId="83" xfId="0" applyNumberFormat="1" applyFont="1" applyBorder="1" applyAlignment="1">
      <alignment horizontal="center" vertical="top"/>
    </xf>
    <xf numFmtId="0" fontId="12" fillId="0" borderId="85" xfId="0" applyFont="1" applyBorder="1"/>
    <xf numFmtId="0" fontId="16" fillId="0" borderId="86" xfId="0" applyFont="1" applyBorder="1" applyAlignment="1">
      <alignment vertical="top"/>
    </xf>
    <xf numFmtId="0" fontId="12" fillId="0" borderId="82" xfId="0" applyFont="1" applyBorder="1"/>
    <xf numFmtId="0" fontId="12" fillId="0" borderId="82" xfId="0" applyFont="1" applyBorder="1" applyAlignment="1">
      <alignment horizontal="center"/>
    </xf>
    <xf numFmtId="4" fontId="12" fillId="0" borderId="87" xfId="0" applyNumberFormat="1" applyFont="1" applyBorder="1"/>
    <xf numFmtId="0" fontId="12" fillId="0" borderId="84" xfId="0" applyFont="1" applyBorder="1" applyAlignment="1">
      <alignment horizontal="center"/>
    </xf>
    <xf numFmtId="9" fontId="12" fillId="0" borderId="0" xfId="0" applyNumberFormat="1" applyFont="1" applyAlignment="1">
      <alignment horizontal="center" vertical="top" wrapText="1"/>
    </xf>
    <xf numFmtId="0" fontId="10" fillId="0" borderId="88" xfId="0" applyFont="1" applyBorder="1" applyAlignment="1">
      <alignment horizontal="left" vertical="top" wrapText="1"/>
    </xf>
    <xf numFmtId="4" fontId="12" fillId="0" borderId="89" xfId="0" applyNumberFormat="1" applyFont="1" applyBorder="1" applyAlignment="1">
      <alignment vertical="top" wrapText="1"/>
    </xf>
    <xf numFmtId="4" fontId="11" fillId="0" borderId="0" xfId="0" applyNumberFormat="1" applyFont="1" applyAlignment="1">
      <alignment horizontal="left" vertical="top"/>
    </xf>
    <xf numFmtId="0" fontId="16" fillId="0" borderId="90" xfId="0" applyFont="1" applyBorder="1" applyAlignment="1">
      <alignment vertical="top"/>
    </xf>
    <xf numFmtId="0" fontId="12" fillId="0" borderId="91" xfId="0" applyFont="1" applyBorder="1"/>
    <xf numFmtId="4" fontId="10" fillId="0" borderId="91" xfId="0" applyNumberFormat="1" applyFont="1" applyBorder="1" applyAlignment="1">
      <alignment horizontal="center" vertical="top"/>
    </xf>
    <xf numFmtId="4" fontId="16" fillId="0" borderId="92" xfId="0" applyNumberFormat="1" applyFont="1" applyBorder="1"/>
    <xf numFmtId="0" fontId="12" fillId="0" borderId="0" xfId="0" applyFont="1" applyAlignment="1">
      <alignment wrapText="1"/>
    </xf>
    <xf numFmtId="0" fontId="12" fillId="0" borderId="93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4" fontId="16" fillId="0" borderId="0" xfId="0" applyNumberFormat="1" applyFont="1"/>
    <xf numFmtId="0" fontId="16" fillId="0" borderId="93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4" fontId="2" fillId="4" borderId="0" xfId="0" applyNumberFormat="1" applyFont="1" applyFill="1" applyAlignment="1" applyProtection="1">
      <alignment horizontal="right" vertical="center"/>
      <protection locked="0"/>
    </xf>
    <xf numFmtId="4" fontId="11" fillId="4" borderId="83" xfId="0" applyNumberFormat="1" applyFont="1" applyFill="1" applyBorder="1" applyAlignment="1" applyProtection="1">
      <alignment horizontal="center" vertical="top" wrapText="1"/>
      <protection locked="0"/>
    </xf>
    <xf numFmtId="4" fontId="11" fillId="4" borderId="83" xfId="0" applyNumberFormat="1" applyFont="1" applyFill="1" applyBorder="1" applyAlignment="1" applyProtection="1">
      <alignment horizontal="center" vertical="top"/>
      <protection locked="0"/>
    </xf>
    <xf numFmtId="4" fontId="11" fillId="4" borderId="83" xfId="2" applyNumberFormat="1" applyFont="1" applyFill="1" applyBorder="1" applyAlignment="1" applyProtection="1">
      <alignment horizontal="center" vertical="top" wrapText="1"/>
      <protection locked="0"/>
    </xf>
    <xf numFmtId="4" fontId="2" fillId="4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4" borderId="41" xfId="0" applyFont="1" applyFill="1" applyBorder="1" applyAlignment="1" applyProtection="1">
      <alignment horizontal="left" vertical="center"/>
      <protection locked="0"/>
    </xf>
    <xf numFmtId="0" fontId="2" fillId="4" borderId="56" xfId="0" applyFont="1" applyFill="1" applyBorder="1" applyAlignment="1" applyProtection="1">
      <alignment horizontal="left" vertical="center"/>
      <protection locked="0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79" xfId="0" applyFont="1" applyBorder="1" applyAlignment="1">
      <alignment horizontal="left" vertical="center"/>
    </xf>
  </cellXfs>
  <cellStyles count="10">
    <cellStyle name="Normální" xfId="0" builtinId="0"/>
    <cellStyle name="Normální 10" xfId="4" xr:uid="{AFCA89B2-0B00-4155-9234-8B714B79A9E0}"/>
    <cellStyle name="Normální 11" xfId="3" xr:uid="{17FA4AAD-A1E3-463E-9853-3ED5E464F856}"/>
    <cellStyle name="normální 2" xfId="1" xr:uid="{ABBAEA44-7F4B-4FF4-949D-B7D8E62E47B8}"/>
    <cellStyle name="normální 2 3" xfId="8" xr:uid="{70E480C6-5378-4134-8A03-D30B76A28730}"/>
    <cellStyle name="Normální 3" xfId="7" xr:uid="{CADA27EF-8DF5-4A6D-A669-1B98AA202775}"/>
    <cellStyle name="Normální 4" xfId="9" xr:uid="{7914416D-A96B-4D23-B4D6-3DC7EE11FF94}"/>
    <cellStyle name="Normální 5" xfId="2" xr:uid="{AD18FFD8-CABF-4626-9A12-685712BF949E}"/>
    <cellStyle name="Normální 8" xfId="6" xr:uid="{609758DB-56F3-4103-9CB2-C641086E3F09}"/>
    <cellStyle name="Normální 9" xfId="5" xr:uid="{E07CFDE7-8D24-44B0-BA4E-E91314319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10" workbookViewId="0">
      <selection activeCell="A38" sqref="A38:I38"/>
    </sheetView>
  </sheetViews>
  <sheetFormatPr defaultColWidth="12.08984375" defaultRowHeight="15" customHeight="1" x14ac:dyDescent="0.35"/>
  <cols>
    <col min="1" max="1" width="9.08984375" customWidth="1"/>
    <col min="2" max="2" width="12.90625" customWidth="1"/>
    <col min="3" max="3" width="27.08984375" customWidth="1"/>
    <col min="4" max="4" width="10" customWidth="1"/>
    <col min="5" max="5" width="14" customWidth="1"/>
    <col min="6" max="6" width="27.08984375" customWidth="1"/>
    <col min="7" max="7" width="9.08984375" customWidth="1"/>
    <col min="8" max="8" width="12.90625" customWidth="1"/>
    <col min="9" max="9" width="27.08984375" customWidth="1"/>
  </cols>
  <sheetData>
    <row r="1" spans="1:9" ht="54.75" customHeight="1" x14ac:dyDescent="0.35">
      <c r="A1" s="132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ht="14.5" x14ac:dyDescent="0.35">
      <c r="A2" s="134" t="s">
        <v>1</v>
      </c>
      <c r="B2" s="135"/>
      <c r="C2" s="144" t="str">
        <f>'Stavební rozpočet'!D2</f>
        <v>REKONSTRUKCE KUCHYNĚ -  ZŠ ZÁRUBOVA   technologie kuchyně a zařízení jídelny</v>
      </c>
      <c r="D2" s="145"/>
      <c r="E2" s="139" t="s">
        <v>2</v>
      </c>
      <c r="F2" s="139" t="str">
        <f>'Stavební rozpočet'!K2</f>
        <v>Městská část Praha 12,Generála Šišky 2375/6, Praha</v>
      </c>
      <c r="G2" s="135"/>
      <c r="H2" s="139" t="s">
        <v>3</v>
      </c>
      <c r="I2" s="141" t="s">
        <v>4</v>
      </c>
    </row>
    <row r="3" spans="1:9" ht="34.25" customHeight="1" x14ac:dyDescent="0.35">
      <c r="A3" s="136"/>
      <c r="B3" s="137"/>
      <c r="C3" s="146"/>
      <c r="D3" s="146"/>
      <c r="E3" s="137"/>
      <c r="F3" s="137"/>
      <c r="G3" s="137"/>
      <c r="H3" s="137"/>
      <c r="I3" s="142"/>
    </row>
    <row r="4" spans="1:9" ht="14.5" x14ac:dyDescent="0.35">
      <c r="A4" s="138" t="s">
        <v>5</v>
      </c>
      <c r="B4" s="137"/>
      <c r="C4" s="140" t="str">
        <f>'Stavební rozpočet'!D4</f>
        <v>Oprava a rekonstrukce</v>
      </c>
      <c r="D4" s="137"/>
      <c r="E4" s="140" t="s">
        <v>6</v>
      </c>
      <c r="F4" s="140" t="str">
        <f>'Stavební rozpočet'!K4</f>
        <v>MIKRO PRAHA spol s.r.</v>
      </c>
      <c r="G4" s="137"/>
      <c r="H4" s="140" t="s">
        <v>3</v>
      </c>
      <c r="I4" s="142" t="s">
        <v>7</v>
      </c>
    </row>
    <row r="5" spans="1:9" ht="15" customHeight="1" x14ac:dyDescent="0.35">
      <c r="A5" s="136"/>
      <c r="B5" s="137"/>
      <c r="C5" s="137"/>
      <c r="D5" s="137"/>
      <c r="E5" s="137"/>
      <c r="F5" s="137"/>
      <c r="G5" s="137"/>
      <c r="H5" s="137"/>
      <c r="I5" s="142"/>
    </row>
    <row r="6" spans="1:9" ht="14.5" x14ac:dyDescent="0.35">
      <c r="A6" s="138" t="s">
        <v>8</v>
      </c>
      <c r="B6" s="137"/>
      <c r="C6" s="140" t="str">
        <f>'Stavební rozpočet'!D6</f>
        <v>ZÁRUBOVA 977/17, K.Ú. KAMÝK, PRAHA 12</v>
      </c>
      <c r="D6" s="137"/>
      <c r="E6" s="140" t="s">
        <v>9</v>
      </c>
      <c r="F6" s="140" t="str">
        <f>'Stavební rozpočet'!K6</f>
        <v> </v>
      </c>
      <c r="G6" s="137"/>
      <c r="H6" s="140" t="s">
        <v>3</v>
      </c>
      <c r="I6" s="142" t="s">
        <v>10</v>
      </c>
    </row>
    <row r="7" spans="1:9" ht="15" customHeight="1" x14ac:dyDescent="0.35">
      <c r="A7" s="136"/>
      <c r="B7" s="137"/>
      <c r="C7" s="137"/>
      <c r="D7" s="137"/>
      <c r="E7" s="137"/>
      <c r="F7" s="137"/>
      <c r="G7" s="137"/>
      <c r="H7" s="137"/>
      <c r="I7" s="142"/>
    </row>
    <row r="8" spans="1:9" ht="14.5" x14ac:dyDescent="0.35">
      <c r="A8" s="138" t="s">
        <v>11</v>
      </c>
      <c r="B8" s="137"/>
      <c r="C8" s="140" t="str">
        <f>'Stavební rozpočet'!H4</f>
        <v xml:space="preserve"> </v>
      </c>
      <c r="D8" s="137"/>
      <c r="E8" s="140" t="s">
        <v>12</v>
      </c>
      <c r="F8" s="140" t="str">
        <f>'Stavební rozpočet'!H6</f>
        <v xml:space="preserve"> </v>
      </c>
      <c r="G8" s="137"/>
      <c r="H8" s="137" t="s">
        <v>13</v>
      </c>
      <c r="I8" s="143">
        <v>406</v>
      </c>
    </row>
    <row r="9" spans="1:9" ht="14.5" x14ac:dyDescent="0.35">
      <c r="A9" s="136"/>
      <c r="B9" s="137"/>
      <c r="C9" s="137"/>
      <c r="D9" s="137"/>
      <c r="E9" s="137"/>
      <c r="F9" s="137"/>
      <c r="G9" s="137"/>
      <c r="H9" s="137"/>
      <c r="I9" s="142"/>
    </row>
    <row r="10" spans="1:9" ht="14.5" x14ac:dyDescent="0.35">
      <c r="A10" s="138" t="s">
        <v>14</v>
      </c>
      <c r="B10" s="137"/>
      <c r="C10" s="140" t="str">
        <f>'Stavební rozpočet'!D8</f>
        <v xml:space="preserve"> </v>
      </c>
      <c r="D10" s="137"/>
      <c r="E10" s="140" t="s">
        <v>15</v>
      </c>
      <c r="F10" s="140">
        <f>'Stavební rozpočet'!K8</f>
        <v>0</v>
      </c>
      <c r="G10" s="137"/>
      <c r="H10" s="137" t="s">
        <v>16</v>
      </c>
      <c r="I10" s="148">
        <f>'Stavební rozpočet'!H8</f>
        <v>0</v>
      </c>
    </row>
    <row r="11" spans="1:9" ht="14.5" x14ac:dyDescent="0.35">
      <c r="A11" s="153"/>
      <c r="B11" s="147"/>
      <c r="C11" s="147"/>
      <c r="D11" s="147"/>
      <c r="E11" s="147"/>
      <c r="F11" s="147"/>
      <c r="G11" s="147"/>
      <c r="H11" s="147"/>
      <c r="I11" s="149"/>
    </row>
    <row r="12" spans="1:9" ht="23" x14ac:dyDescent="0.35">
      <c r="A12" s="150" t="s">
        <v>17</v>
      </c>
      <c r="B12" s="150"/>
      <c r="C12" s="150"/>
      <c r="D12" s="150"/>
      <c r="E12" s="150"/>
      <c r="F12" s="150"/>
      <c r="G12" s="150"/>
      <c r="H12" s="150"/>
      <c r="I12" s="150"/>
    </row>
    <row r="13" spans="1:9" ht="26.25" customHeight="1" x14ac:dyDescent="0.35">
      <c r="A13" s="4" t="s">
        <v>18</v>
      </c>
      <c r="B13" s="151" t="s">
        <v>19</v>
      </c>
      <c r="C13" s="152"/>
      <c r="D13" s="5" t="s">
        <v>20</v>
      </c>
      <c r="E13" s="151" t="s">
        <v>21</v>
      </c>
      <c r="F13" s="152"/>
      <c r="G13" s="5" t="s">
        <v>22</v>
      </c>
      <c r="H13" s="151" t="s">
        <v>23</v>
      </c>
      <c r="I13" s="152"/>
    </row>
    <row r="14" spans="1:9" ht="15.5" x14ac:dyDescent="0.35">
      <c r="A14" s="6" t="s">
        <v>24</v>
      </c>
      <c r="B14" s="7" t="s">
        <v>25</v>
      </c>
      <c r="C14" s="8">
        <f>SUM('Stavební rozpočet'!AA12:AA483)</f>
        <v>0</v>
      </c>
      <c r="D14" s="160" t="s">
        <v>26</v>
      </c>
      <c r="E14" s="161"/>
      <c r="F14" s="8">
        <f>VORN!I15</f>
        <v>0</v>
      </c>
      <c r="G14" s="160" t="s">
        <v>27</v>
      </c>
      <c r="H14" s="161"/>
      <c r="I14" s="8">
        <f>VORN!I21</f>
        <v>0</v>
      </c>
    </row>
    <row r="15" spans="1:9" ht="15.5" x14ac:dyDescent="0.35">
      <c r="A15" s="9" t="s">
        <v>10</v>
      </c>
      <c r="B15" s="7" t="s">
        <v>28</v>
      </c>
      <c r="C15" s="8">
        <f>SUM('Stavební rozpočet'!AB12:AB483)</f>
        <v>0</v>
      </c>
      <c r="D15" s="160" t="s">
        <v>29</v>
      </c>
      <c r="E15" s="161"/>
      <c r="F15" s="8">
        <f>VORN!I16</f>
        <v>0</v>
      </c>
      <c r="G15" s="160" t="s">
        <v>30</v>
      </c>
      <c r="H15" s="161"/>
      <c r="I15" s="8">
        <f>VORN!I22</f>
        <v>0</v>
      </c>
    </row>
    <row r="16" spans="1:9" ht="15.5" x14ac:dyDescent="0.35">
      <c r="A16" s="6" t="s">
        <v>31</v>
      </c>
      <c r="B16" s="7" t="s">
        <v>25</v>
      </c>
      <c r="C16" s="8">
        <f>SUM('Stavební rozpočet'!AC12:AC483)</f>
        <v>0</v>
      </c>
      <c r="D16" s="160" t="s">
        <v>32</v>
      </c>
      <c r="E16" s="161"/>
      <c r="F16" s="8">
        <f>VORN!I17</f>
        <v>0</v>
      </c>
      <c r="G16" s="160" t="s">
        <v>33</v>
      </c>
      <c r="H16" s="161"/>
      <c r="I16" s="8">
        <f>VORN!I23</f>
        <v>0</v>
      </c>
    </row>
    <row r="17" spans="1:9" ht="15.5" x14ac:dyDescent="0.35">
      <c r="A17" s="9" t="s">
        <v>10</v>
      </c>
      <c r="B17" s="7" t="s">
        <v>28</v>
      </c>
      <c r="C17" s="8">
        <f>SUM('Stavební rozpočet'!AD12:AD483)</f>
        <v>0</v>
      </c>
      <c r="D17" s="160" t="s">
        <v>10</v>
      </c>
      <c r="E17" s="161"/>
      <c r="F17" s="10" t="s">
        <v>10</v>
      </c>
      <c r="G17" s="160" t="s">
        <v>34</v>
      </c>
      <c r="H17" s="161"/>
      <c r="I17" s="8">
        <f>VORN!I24</f>
        <v>0</v>
      </c>
    </row>
    <row r="18" spans="1:9" ht="15.5" x14ac:dyDescent="0.35">
      <c r="A18" s="6" t="s">
        <v>35</v>
      </c>
      <c r="B18" s="7" t="s">
        <v>25</v>
      </c>
      <c r="C18" s="8">
        <f>SUM('Stavební rozpočet'!AE12:AE483)</f>
        <v>0</v>
      </c>
      <c r="D18" s="160" t="s">
        <v>10</v>
      </c>
      <c r="E18" s="161"/>
      <c r="F18" s="10" t="s">
        <v>10</v>
      </c>
      <c r="G18" s="160" t="s">
        <v>36</v>
      </c>
      <c r="H18" s="161"/>
      <c r="I18" s="8">
        <f>VORN!I25</f>
        <v>0</v>
      </c>
    </row>
    <row r="19" spans="1:9" ht="15.5" x14ac:dyDescent="0.35">
      <c r="A19" s="9" t="s">
        <v>10</v>
      </c>
      <c r="B19" s="7" t="s">
        <v>28</v>
      </c>
      <c r="C19" s="8">
        <f>SUM('Stavební rozpočet'!AF12:AF483)</f>
        <v>0</v>
      </c>
      <c r="D19" s="160" t="s">
        <v>10</v>
      </c>
      <c r="E19" s="161"/>
      <c r="F19" s="10" t="s">
        <v>10</v>
      </c>
      <c r="G19" s="160" t="s">
        <v>37</v>
      </c>
      <c r="H19" s="161"/>
      <c r="I19" s="8">
        <f>VORN!I26</f>
        <v>0</v>
      </c>
    </row>
    <row r="20" spans="1:9" ht="15.5" x14ac:dyDescent="0.35">
      <c r="A20" s="154" t="s">
        <v>38</v>
      </c>
      <c r="B20" s="155"/>
      <c r="C20" s="8">
        <f>SUM('Stavební rozpočet'!AG12:AG483)</f>
        <v>0</v>
      </c>
      <c r="D20" s="160" t="s">
        <v>10</v>
      </c>
      <c r="E20" s="161"/>
      <c r="F20" s="10" t="s">
        <v>10</v>
      </c>
      <c r="G20" s="160" t="s">
        <v>10</v>
      </c>
      <c r="H20" s="161"/>
      <c r="I20" s="10" t="s">
        <v>10</v>
      </c>
    </row>
    <row r="21" spans="1:9" ht="15.5" x14ac:dyDescent="0.35">
      <c r="A21" s="156" t="s">
        <v>39</v>
      </c>
      <c r="B21" s="157"/>
      <c r="C21" s="11">
        <f>SUM('Stavební rozpočet'!Y12:Y483)</f>
        <v>0</v>
      </c>
      <c r="D21" s="162" t="s">
        <v>10</v>
      </c>
      <c r="E21" s="163"/>
      <c r="F21" s="12" t="s">
        <v>10</v>
      </c>
      <c r="G21" s="162" t="s">
        <v>10</v>
      </c>
      <c r="H21" s="163"/>
      <c r="I21" s="12" t="s">
        <v>10</v>
      </c>
    </row>
    <row r="22" spans="1:9" ht="16.5" customHeight="1" x14ac:dyDescent="0.35">
      <c r="A22" s="158" t="s">
        <v>40</v>
      </c>
      <c r="B22" s="159"/>
      <c r="C22" s="13">
        <f>ROUND(SUM(C14:C21),0)</f>
        <v>0</v>
      </c>
      <c r="D22" s="164" t="s">
        <v>41</v>
      </c>
      <c r="E22" s="159"/>
      <c r="F22" s="13">
        <f>SUM(F14:F21)</f>
        <v>0</v>
      </c>
      <c r="G22" s="164" t="s">
        <v>42</v>
      </c>
      <c r="H22" s="159"/>
      <c r="I22" s="13">
        <f>SUM(I14:I21)</f>
        <v>0</v>
      </c>
    </row>
    <row r="23" spans="1:9" ht="15.5" x14ac:dyDescent="0.35">
      <c r="A23" s="154" t="s">
        <v>43</v>
      </c>
      <c r="B23" s="155"/>
      <c r="C23" s="8">
        <v>0</v>
      </c>
      <c r="D23" s="165" t="s">
        <v>44</v>
      </c>
      <c r="E23" s="155"/>
      <c r="F23" s="14">
        <v>0</v>
      </c>
      <c r="G23" s="165" t="s">
        <v>45</v>
      </c>
      <c r="H23" s="155"/>
      <c r="I23" s="8">
        <v>0</v>
      </c>
    </row>
    <row r="24" spans="1:9" ht="15.5" x14ac:dyDescent="0.35">
      <c r="A24" s="154" t="s">
        <v>46</v>
      </c>
      <c r="B24" s="155"/>
      <c r="C24" s="8">
        <f>ROUND(C22*(1-C23/100),0)</f>
        <v>0</v>
      </c>
      <c r="G24" s="154" t="s">
        <v>47</v>
      </c>
      <c r="H24" s="155"/>
      <c r="I24" s="8">
        <f>vorn_sum</f>
        <v>0</v>
      </c>
    </row>
    <row r="25" spans="1:9" ht="15.5" x14ac:dyDescent="0.35">
      <c r="G25" s="154" t="s">
        <v>48</v>
      </c>
      <c r="H25" s="155"/>
      <c r="I25" s="8">
        <v>0</v>
      </c>
    </row>
    <row r="28" spans="1:9" ht="15.5" x14ac:dyDescent="0.35">
      <c r="A28" s="166" t="s">
        <v>49</v>
      </c>
      <c r="B28" s="167"/>
      <c r="C28" s="15">
        <f>ROUND(SUM('Stavební rozpočet'!AI12:AI483)*(1-C23/100),0)</f>
        <v>0</v>
      </c>
    </row>
    <row r="29" spans="1:9" ht="15.5" x14ac:dyDescent="0.35">
      <c r="A29" s="168" t="s">
        <v>50</v>
      </c>
      <c r="B29" s="169"/>
      <c r="C29" s="16">
        <f>ROUND(SUM('Stavební rozpočet'!AJ12:AJ483)*(1-C23/100),0)</f>
        <v>0</v>
      </c>
      <c r="D29" s="170" t="s">
        <v>51</v>
      </c>
      <c r="E29" s="167"/>
      <c r="F29" s="15">
        <f>ROUND(C29*(12/100),2)</f>
        <v>0</v>
      </c>
      <c r="G29" s="170" t="s">
        <v>52</v>
      </c>
      <c r="H29" s="167"/>
      <c r="I29" s="15">
        <f>ROUND(SUM(C28:C30),0)</f>
        <v>0</v>
      </c>
    </row>
    <row r="30" spans="1:9" ht="15.5" x14ac:dyDescent="0.35">
      <c r="A30" s="168" t="s">
        <v>53</v>
      </c>
      <c r="B30" s="169"/>
      <c r="C30" s="16">
        <f>ROUND(SUM('Stavební rozpočet'!AK12:AK483)*(1-C23/100)+(F22+I22+F23+I23+I24+I25),0)</f>
        <v>0</v>
      </c>
      <c r="D30" s="171" t="s">
        <v>54</v>
      </c>
      <c r="E30" s="169"/>
      <c r="F30" s="16">
        <f>ROUND(C30*(21/100),2)</f>
        <v>0</v>
      </c>
      <c r="G30" s="171" t="s">
        <v>55</v>
      </c>
      <c r="H30" s="169"/>
      <c r="I30" s="16">
        <f>ROUND(SUM(F29:F30)+I29,0)</f>
        <v>0</v>
      </c>
    </row>
    <row r="32" spans="1:9" ht="15.5" x14ac:dyDescent="0.35">
      <c r="A32" s="181" t="s">
        <v>56</v>
      </c>
      <c r="B32" s="173"/>
      <c r="C32" s="174"/>
      <c r="D32" s="172" t="s">
        <v>57</v>
      </c>
      <c r="E32" s="173"/>
      <c r="F32" s="174"/>
      <c r="G32" s="172" t="s">
        <v>58</v>
      </c>
      <c r="H32" s="173"/>
      <c r="I32" s="174"/>
    </row>
    <row r="33" spans="1:9" ht="15.5" x14ac:dyDescent="0.35">
      <c r="A33" s="182" t="s">
        <v>10</v>
      </c>
      <c r="B33" s="176"/>
      <c r="C33" s="177"/>
      <c r="D33" s="175" t="s">
        <v>10</v>
      </c>
      <c r="E33" s="176"/>
      <c r="F33" s="177"/>
      <c r="G33" s="175" t="s">
        <v>10</v>
      </c>
      <c r="H33" s="176"/>
      <c r="I33" s="177"/>
    </row>
    <row r="34" spans="1:9" ht="15.5" x14ac:dyDescent="0.35">
      <c r="A34" s="182" t="s">
        <v>10</v>
      </c>
      <c r="B34" s="176"/>
      <c r="C34" s="177"/>
      <c r="D34" s="175" t="s">
        <v>10</v>
      </c>
      <c r="E34" s="176"/>
      <c r="F34" s="177"/>
      <c r="G34" s="175" t="s">
        <v>10</v>
      </c>
      <c r="H34" s="176"/>
      <c r="I34" s="177"/>
    </row>
    <row r="35" spans="1:9" ht="15.5" x14ac:dyDescent="0.35">
      <c r="A35" s="182" t="s">
        <v>10</v>
      </c>
      <c r="B35" s="176"/>
      <c r="C35" s="177"/>
      <c r="D35" s="175" t="s">
        <v>10</v>
      </c>
      <c r="E35" s="176"/>
      <c r="F35" s="177"/>
      <c r="G35" s="175" t="s">
        <v>10</v>
      </c>
      <c r="H35" s="176"/>
      <c r="I35" s="177"/>
    </row>
    <row r="36" spans="1:9" ht="15.5" x14ac:dyDescent="0.35">
      <c r="A36" s="183" t="s">
        <v>59</v>
      </c>
      <c r="B36" s="179"/>
      <c r="C36" s="180"/>
      <c r="D36" s="178" t="s">
        <v>59</v>
      </c>
      <c r="E36" s="179"/>
      <c r="F36" s="180"/>
      <c r="G36" s="178" t="s">
        <v>59</v>
      </c>
      <c r="H36" s="179"/>
      <c r="I36" s="180"/>
    </row>
    <row r="37" spans="1:9" ht="14.5" x14ac:dyDescent="0.35">
      <c r="A37" s="17" t="s">
        <v>60</v>
      </c>
    </row>
    <row r="38" spans="1:9" ht="12.75" customHeight="1" x14ac:dyDescent="0.35">
      <c r="A38" s="140" t="s">
        <v>10</v>
      </c>
      <c r="B38" s="137"/>
      <c r="C38" s="137"/>
      <c r="D38" s="137"/>
      <c r="E38" s="137"/>
      <c r="F38" s="137"/>
      <c r="G38" s="137"/>
      <c r="H38" s="137"/>
      <c r="I38" s="137"/>
    </row>
  </sheetData>
  <sheetProtection algorithmName="SHA-512" hashValue="Vga1IcE6kNa08LvXJ2Jz4UXkAcfim6WzQpspHXHElAYQ20peDWAR9jrRWUob3Y4j7oVwB8nzKz2697DDoDkYcQ==" saltValue="6tI/HHYBitBnaYvPV4Hwcg==" spinCount="100000" sheet="1" objects="1" scenarios="1"/>
  <mergeCells count="85">
    <mergeCell ref="A38:I38"/>
    <mergeCell ref="G32:I32"/>
    <mergeCell ref="G33:I33"/>
    <mergeCell ref="G34:I34"/>
    <mergeCell ref="G35:I35"/>
    <mergeCell ref="G36:I36"/>
    <mergeCell ref="D32:F32"/>
    <mergeCell ref="D33:F33"/>
    <mergeCell ref="D34:F34"/>
    <mergeCell ref="D35:F35"/>
    <mergeCell ref="D36:F36"/>
    <mergeCell ref="A32:C32"/>
    <mergeCell ref="A33:C33"/>
    <mergeCell ref="A34:C34"/>
    <mergeCell ref="A35:C35"/>
    <mergeCell ref="A36:C36"/>
    <mergeCell ref="G24:H24"/>
    <mergeCell ref="G25:H25"/>
    <mergeCell ref="A28:B28"/>
    <mergeCell ref="A29:B29"/>
    <mergeCell ref="A30:B30"/>
    <mergeCell ref="D29:E29"/>
    <mergeCell ref="D30:E30"/>
    <mergeCell ref="G29:H29"/>
    <mergeCell ref="G30:H30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A20:B20"/>
    <mergeCell ref="A21:B21"/>
    <mergeCell ref="A22:B22"/>
    <mergeCell ref="A23:B23"/>
    <mergeCell ref="A24:B24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topLeftCell="A8" workbookViewId="0">
      <selection activeCell="F25" sqref="F25"/>
    </sheetView>
  </sheetViews>
  <sheetFormatPr defaultColWidth="12.08984375" defaultRowHeight="15" customHeight="1" x14ac:dyDescent="0.35"/>
  <cols>
    <col min="1" max="1" width="9.08984375" customWidth="1"/>
    <col min="2" max="2" width="12.90625" customWidth="1"/>
    <col min="3" max="3" width="22.90625" customWidth="1"/>
    <col min="4" max="4" width="10" customWidth="1"/>
    <col min="5" max="5" width="14" customWidth="1"/>
    <col min="6" max="6" width="22.90625" customWidth="1"/>
    <col min="7" max="7" width="9.08984375" customWidth="1"/>
    <col min="8" max="8" width="17.08984375" customWidth="1"/>
    <col min="9" max="9" width="22.90625" customWidth="1"/>
  </cols>
  <sheetData>
    <row r="1" spans="1:9" ht="54.75" customHeight="1" x14ac:dyDescent="0.35">
      <c r="A1" s="132" t="s">
        <v>61</v>
      </c>
      <c r="B1" s="133"/>
      <c r="C1" s="133"/>
      <c r="D1" s="133"/>
      <c r="E1" s="133"/>
      <c r="F1" s="133"/>
      <c r="G1" s="133"/>
      <c r="H1" s="133"/>
      <c r="I1" s="133"/>
    </row>
    <row r="2" spans="1:9" ht="14.5" x14ac:dyDescent="0.35">
      <c r="A2" s="134" t="s">
        <v>1</v>
      </c>
      <c r="B2" s="135"/>
      <c r="C2" s="144" t="str">
        <f>'Stavební rozpočet'!D2</f>
        <v>REKONSTRUKCE KUCHYNĚ -  ZŠ ZÁRUBOVA   technologie kuchyně a zařízení jídelny</v>
      </c>
      <c r="D2" s="145"/>
      <c r="E2" s="139" t="s">
        <v>2</v>
      </c>
      <c r="F2" s="139" t="str">
        <f>'Stavební rozpočet'!K2</f>
        <v>Městská část Praha 12,Generála Šišky 2375/6, Praha</v>
      </c>
      <c r="G2" s="135"/>
      <c r="H2" s="139" t="s">
        <v>3</v>
      </c>
      <c r="I2" s="141" t="s">
        <v>4</v>
      </c>
    </row>
    <row r="3" spans="1:9" ht="15" customHeight="1" x14ac:dyDescent="0.35">
      <c r="A3" s="136"/>
      <c r="B3" s="137"/>
      <c r="C3" s="146"/>
      <c r="D3" s="146"/>
      <c r="E3" s="137"/>
      <c r="F3" s="137"/>
      <c r="G3" s="137"/>
      <c r="H3" s="137"/>
      <c r="I3" s="142"/>
    </row>
    <row r="4" spans="1:9" ht="14.5" x14ac:dyDescent="0.35">
      <c r="A4" s="138" t="s">
        <v>5</v>
      </c>
      <c r="B4" s="137"/>
      <c r="C4" s="140" t="str">
        <f>'Stavební rozpočet'!D4</f>
        <v>Oprava a rekonstrukce</v>
      </c>
      <c r="D4" s="137"/>
      <c r="E4" s="140" t="s">
        <v>6</v>
      </c>
      <c r="F4" s="140" t="str">
        <f>'Stavební rozpočet'!K4</f>
        <v>MIKRO PRAHA spol s.r.</v>
      </c>
      <c r="G4" s="137"/>
      <c r="H4" s="140" t="s">
        <v>3</v>
      </c>
      <c r="I4" s="142" t="s">
        <v>7</v>
      </c>
    </row>
    <row r="5" spans="1:9" ht="15" customHeight="1" x14ac:dyDescent="0.35">
      <c r="A5" s="136"/>
      <c r="B5" s="137"/>
      <c r="C5" s="137"/>
      <c r="D5" s="137"/>
      <c r="E5" s="137"/>
      <c r="F5" s="137"/>
      <c r="G5" s="137"/>
      <c r="H5" s="137"/>
      <c r="I5" s="142"/>
    </row>
    <row r="6" spans="1:9" ht="14.5" x14ac:dyDescent="0.35">
      <c r="A6" s="138" t="s">
        <v>8</v>
      </c>
      <c r="B6" s="137"/>
      <c r="C6" s="140" t="str">
        <f>'Stavební rozpočet'!D6</f>
        <v>ZÁRUBOVA 977/17, K.Ú. KAMÝK, PRAHA 12</v>
      </c>
      <c r="D6" s="137"/>
      <c r="E6" s="140" t="s">
        <v>9</v>
      </c>
      <c r="F6" s="140" t="str">
        <f>'Stavební rozpočet'!K6</f>
        <v> </v>
      </c>
      <c r="G6" s="137"/>
      <c r="H6" s="140" t="s">
        <v>3</v>
      </c>
      <c r="I6" s="142" t="s">
        <v>10</v>
      </c>
    </row>
    <row r="7" spans="1:9" ht="15" customHeight="1" x14ac:dyDescent="0.35">
      <c r="A7" s="136"/>
      <c r="B7" s="137"/>
      <c r="C7" s="137"/>
      <c r="D7" s="137"/>
      <c r="E7" s="137"/>
      <c r="F7" s="137"/>
      <c r="G7" s="137"/>
      <c r="H7" s="137"/>
      <c r="I7" s="142"/>
    </row>
    <row r="8" spans="1:9" ht="14.5" x14ac:dyDescent="0.35">
      <c r="A8" s="138" t="s">
        <v>11</v>
      </c>
      <c r="B8" s="137"/>
      <c r="C8" s="140" t="str">
        <f>'Stavební rozpočet'!H4</f>
        <v xml:space="preserve"> </v>
      </c>
      <c r="D8" s="137"/>
      <c r="E8" s="140" t="s">
        <v>12</v>
      </c>
      <c r="F8" s="140" t="str">
        <f>'Stavební rozpočet'!H6</f>
        <v xml:space="preserve"> </v>
      </c>
      <c r="G8" s="137"/>
      <c r="H8" s="137" t="s">
        <v>13</v>
      </c>
      <c r="I8" s="143">
        <v>406</v>
      </c>
    </row>
    <row r="9" spans="1:9" ht="14.5" x14ac:dyDescent="0.35">
      <c r="A9" s="136"/>
      <c r="B9" s="137"/>
      <c r="C9" s="137"/>
      <c r="D9" s="137"/>
      <c r="E9" s="137"/>
      <c r="F9" s="137"/>
      <c r="G9" s="137"/>
      <c r="H9" s="137"/>
      <c r="I9" s="142"/>
    </row>
    <row r="10" spans="1:9" ht="14.5" x14ac:dyDescent="0.35">
      <c r="A10" s="138" t="s">
        <v>14</v>
      </c>
      <c r="B10" s="137"/>
      <c r="C10" s="140" t="str">
        <f>'Stavební rozpočet'!D8</f>
        <v xml:space="preserve"> </v>
      </c>
      <c r="D10" s="137"/>
      <c r="E10" s="140" t="s">
        <v>15</v>
      </c>
      <c r="F10" s="140">
        <f>'Stavební rozpočet'!K8</f>
        <v>0</v>
      </c>
      <c r="G10" s="137"/>
      <c r="H10" s="137" t="s">
        <v>16</v>
      </c>
      <c r="I10" s="148">
        <f>'Stavební rozpočet'!H8</f>
        <v>0</v>
      </c>
    </row>
    <row r="11" spans="1:9" ht="14.5" x14ac:dyDescent="0.35">
      <c r="A11" s="153"/>
      <c r="B11" s="147"/>
      <c r="C11" s="147"/>
      <c r="D11" s="147"/>
      <c r="E11" s="147"/>
      <c r="F11" s="147"/>
      <c r="G11" s="147"/>
      <c r="H11" s="147"/>
      <c r="I11" s="149"/>
    </row>
    <row r="13" spans="1:9" ht="15.5" x14ac:dyDescent="0.35">
      <c r="A13" s="184" t="s">
        <v>62</v>
      </c>
      <c r="B13" s="184"/>
      <c r="C13" s="184"/>
      <c r="D13" s="184"/>
      <c r="E13" s="184"/>
    </row>
    <row r="14" spans="1:9" ht="14.5" x14ac:dyDescent="0.35">
      <c r="A14" s="185" t="s">
        <v>63</v>
      </c>
      <c r="B14" s="186"/>
      <c r="C14" s="186"/>
      <c r="D14" s="186"/>
      <c r="E14" s="187"/>
      <c r="F14" s="18" t="s">
        <v>64</v>
      </c>
      <c r="G14" s="18" t="s">
        <v>65</v>
      </c>
      <c r="H14" s="18" t="s">
        <v>66</v>
      </c>
      <c r="I14" s="18" t="s">
        <v>64</v>
      </c>
    </row>
    <row r="15" spans="1:9" ht="14.5" x14ac:dyDescent="0.35">
      <c r="A15" s="188" t="s">
        <v>26</v>
      </c>
      <c r="B15" s="189"/>
      <c r="C15" s="189"/>
      <c r="D15" s="189"/>
      <c r="E15" s="190"/>
      <c r="F15" s="19">
        <v>0</v>
      </c>
      <c r="G15" s="20" t="s">
        <v>10</v>
      </c>
      <c r="H15" s="20" t="s">
        <v>10</v>
      </c>
      <c r="I15" s="19">
        <f>F15</f>
        <v>0</v>
      </c>
    </row>
    <row r="16" spans="1:9" ht="14.5" x14ac:dyDescent="0.35">
      <c r="A16" s="188" t="s">
        <v>29</v>
      </c>
      <c r="B16" s="189"/>
      <c r="C16" s="189"/>
      <c r="D16" s="189"/>
      <c r="E16" s="190"/>
      <c r="F16" s="19">
        <v>0</v>
      </c>
      <c r="G16" s="20" t="s">
        <v>10</v>
      </c>
      <c r="H16" s="20" t="s">
        <v>10</v>
      </c>
      <c r="I16" s="19">
        <f>F16</f>
        <v>0</v>
      </c>
    </row>
    <row r="17" spans="1:9" ht="14.5" x14ac:dyDescent="0.35">
      <c r="A17" s="191" t="s">
        <v>32</v>
      </c>
      <c r="B17" s="192"/>
      <c r="C17" s="192"/>
      <c r="D17" s="192"/>
      <c r="E17" s="193"/>
      <c r="F17" s="21">
        <v>0</v>
      </c>
      <c r="G17" s="22" t="s">
        <v>10</v>
      </c>
      <c r="H17" s="22" t="s">
        <v>10</v>
      </c>
      <c r="I17" s="21">
        <f>F17</f>
        <v>0</v>
      </c>
    </row>
    <row r="18" spans="1:9" ht="14.5" x14ac:dyDescent="0.35">
      <c r="A18" s="194" t="s">
        <v>67</v>
      </c>
      <c r="B18" s="195"/>
      <c r="C18" s="195"/>
      <c r="D18" s="195"/>
      <c r="E18" s="196"/>
      <c r="F18" s="23" t="s">
        <v>10</v>
      </c>
      <c r="G18" s="24" t="s">
        <v>10</v>
      </c>
      <c r="H18" s="24" t="s">
        <v>10</v>
      </c>
      <c r="I18" s="25">
        <f>SUM(I15:I17)</f>
        <v>0</v>
      </c>
    </row>
    <row r="20" spans="1:9" ht="14.5" x14ac:dyDescent="0.35">
      <c r="A20" s="185" t="s">
        <v>23</v>
      </c>
      <c r="B20" s="186"/>
      <c r="C20" s="186"/>
      <c r="D20" s="186"/>
      <c r="E20" s="187"/>
      <c r="F20" s="18" t="s">
        <v>64</v>
      </c>
      <c r="G20" s="18" t="s">
        <v>65</v>
      </c>
      <c r="H20" s="18" t="s">
        <v>66</v>
      </c>
      <c r="I20" s="18" t="s">
        <v>64</v>
      </c>
    </row>
    <row r="21" spans="1:9" ht="14.5" x14ac:dyDescent="0.35">
      <c r="A21" s="188" t="s">
        <v>27</v>
      </c>
      <c r="B21" s="189"/>
      <c r="C21" s="189"/>
      <c r="D21" s="189"/>
      <c r="E21" s="190"/>
      <c r="F21" s="20" t="s">
        <v>10</v>
      </c>
      <c r="G21" s="131">
        <v>0</v>
      </c>
      <c r="H21" s="19">
        <f>'Krycí list rozpočtu'!C24</f>
        <v>0</v>
      </c>
      <c r="I21" s="19">
        <f>ROUND((G21/100)*H21,2)</f>
        <v>0</v>
      </c>
    </row>
    <row r="22" spans="1:9" ht="14.5" x14ac:dyDescent="0.35">
      <c r="A22" s="188" t="s">
        <v>30</v>
      </c>
      <c r="B22" s="189"/>
      <c r="C22" s="189"/>
      <c r="D22" s="189"/>
      <c r="E22" s="190"/>
      <c r="F22" s="131">
        <v>0</v>
      </c>
      <c r="G22" s="20" t="s">
        <v>10</v>
      </c>
      <c r="H22" s="20" t="s">
        <v>10</v>
      </c>
      <c r="I22" s="19">
        <f>F22</f>
        <v>0</v>
      </c>
    </row>
    <row r="23" spans="1:9" ht="14.5" x14ac:dyDescent="0.35">
      <c r="A23" s="188" t="s">
        <v>33</v>
      </c>
      <c r="B23" s="189"/>
      <c r="C23" s="189"/>
      <c r="D23" s="189"/>
      <c r="E23" s="190"/>
      <c r="F23" s="131">
        <v>0</v>
      </c>
      <c r="G23" s="20" t="s">
        <v>10</v>
      </c>
      <c r="H23" s="20" t="s">
        <v>10</v>
      </c>
      <c r="I23" s="19">
        <f>F23</f>
        <v>0</v>
      </c>
    </row>
    <row r="24" spans="1:9" ht="14.5" x14ac:dyDescent="0.35">
      <c r="A24" s="188" t="s">
        <v>34</v>
      </c>
      <c r="B24" s="189"/>
      <c r="C24" s="189"/>
      <c r="D24" s="189"/>
      <c r="E24" s="190"/>
      <c r="F24" s="131">
        <v>0</v>
      </c>
      <c r="G24" s="20" t="s">
        <v>10</v>
      </c>
      <c r="H24" s="20" t="s">
        <v>10</v>
      </c>
      <c r="I24" s="19">
        <f>F24</f>
        <v>0</v>
      </c>
    </row>
    <row r="25" spans="1:9" ht="14.5" x14ac:dyDescent="0.35">
      <c r="A25" s="188" t="s">
        <v>36</v>
      </c>
      <c r="B25" s="189"/>
      <c r="C25" s="189"/>
      <c r="D25" s="189"/>
      <c r="E25" s="190"/>
      <c r="F25" s="19">
        <v>0</v>
      </c>
      <c r="G25" s="20" t="s">
        <v>10</v>
      </c>
      <c r="H25" s="20" t="s">
        <v>10</v>
      </c>
      <c r="I25" s="19">
        <f>F25</f>
        <v>0</v>
      </c>
    </row>
    <row r="26" spans="1:9" ht="14.5" x14ac:dyDescent="0.35">
      <c r="A26" s="191" t="s">
        <v>37</v>
      </c>
      <c r="B26" s="192"/>
      <c r="C26" s="192"/>
      <c r="D26" s="192"/>
      <c r="E26" s="193"/>
      <c r="F26" s="21">
        <v>0</v>
      </c>
      <c r="G26" s="22" t="s">
        <v>10</v>
      </c>
      <c r="H26" s="22" t="s">
        <v>10</v>
      </c>
      <c r="I26" s="21">
        <f>F26</f>
        <v>0</v>
      </c>
    </row>
    <row r="27" spans="1:9" ht="14.5" x14ac:dyDescent="0.35">
      <c r="A27" s="194" t="s">
        <v>68</v>
      </c>
      <c r="B27" s="195"/>
      <c r="C27" s="195"/>
      <c r="D27" s="195"/>
      <c r="E27" s="196"/>
      <c r="F27" s="23" t="s">
        <v>10</v>
      </c>
      <c r="G27" s="24" t="s">
        <v>10</v>
      </c>
      <c r="H27" s="24" t="s">
        <v>10</v>
      </c>
      <c r="I27" s="25">
        <f>SUM(I21:I26)</f>
        <v>0</v>
      </c>
    </row>
    <row r="29" spans="1:9" ht="15.5" x14ac:dyDescent="0.35">
      <c r="A29" s="197" t="s">
        <v>69</v>
      </c>
      <c r="B29" s="198"/>
      <c r="C29" s="198"/>
      <c r="D29" s="198"/>
      <c r="E29" s="199"/>
      <c r="F29" s="200">
        <f>I18+I27</f>
        <v>0</v>
      </c>
      <c r="G29" s="201"/>
      <c r="H29" s="201"/>
      <c r="I29" s="202"/>
    </row>
    <row r="33" spans="1:9" ht="15.5" x14ac:dyDescent="0.35">
      <c r="A33" s="184" t="s">
        <v>70</v>
      </c>
      <c r="B33" s="184"/>
      <c r="C33" s="184"/>
      <c r="D33" s="184"/>
      <c r="E33" s="184"/>
    </row>
    <row r="34" spans="1:9" ht="14.5" x14ac:dyDescent="0.35">
      <c r="A34" s="185" t="s">
        <v>71</v>
      </c>
      <c r="B34" s="186"/>
      <c r="C34" s="186"/>
      <c r="D34" s="186"/>
      <c r="E34" s="187"/>
      <c r="F34" s="18" t="s">
        <v>64</v>
      </c>
      <c r="G34" s="18" t="s">
        <v>65</v>
      </c>
      <c r="H34" s="18" t="s">
        <v>66</v>
      </c>
      <c r="I34" s="18" t="s">
        <v>64</v>
      </c>
    </row>
    <row r="35" spans="1:9" ht="14.5" x14ac:dyDescent="0.35">
      <c r="A35" s="191" t="s">
        <v>10</v>
      </c>
      <c r="B35" s="192"/>
      <c r="C35" s="192"/>
      <c r="D35" s="192"/>
      <c r="E35" s="193"/>
      <c r="F35" s="21">
        <v>0</v>
      </c>
      <c r="G35" s="22" t="s">
        <v>10</v>
      </c>
      <c r="H35" s="22" t="s">
        <v>10</v>
      </c>
      <c r="I35" s="21">
        <f>F35</f>
        <v>0</v>
      </c>
    </row>
    <row r="36" spans="1:9" ht="14.5" x14ac:dyDescent="0.35">
      <c r="A36" s="194" t="s">
        <v>72</v>
      </c>
      <c r="B36" s="195"/>
      <c r="C36" s="195"/>
      <c r="D36" s="195"/>
      <c r="E36" s="196"/>
      <c r="F36" s="23" t="s">
        <v>10</v>
      </c>
      <c r="G36" s="24" t="s">
        <v>10</v>
      </c>
      <c r="H36" s="24" t="s">
        <v>10</v>
      </c>
      <c r="I36" s="25">
        <f>SUM(I35:I35)</f>
        <v>0</v>
      </c>
    </row>
  </sheetData>
  <sheetProtection algorithmName="SHA-512" hashValue="7V4DZkf8tVixywYu+rKNE9XnMzcMxwNKGOkZa7P6Z9R7CoNi03zidK8HXQcrSZPa/mDd96hSScTTLdZTM9UU9Q==" saltValue="w9MevNFwlBhk+TLOOHJHnA==" spinCount="100000" sheet="1" objects="1" scenarios="1"/>
  <mergeCells count="51">
    <mergeCell ref="A36:E36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Y29"/>
  <sheetViews>
    <sheetView topLeftCell="D1" zoomScale="88" zoomScaleNormal="88" workbookViewId="0">
      <pane ySplit="11" topLeftCell="A19" activePane="bottomLeft" state="frozen"/>
      <selection pane="bottomLeft" activeCell="H27" sqref="H27"/>
    </sheetView>
  </sheetViews>
  <sheetFormatPr defaultColWidth="12.08984375" defaultRowHeight="15" customHeight="1" x14ac:dyDescent="0.35"/>
  <cols>
    <col min="1" max="1" width="4" customWidth="1"/>
    <col min="2" max="2" width="7.54296875" customWidth="1"/>
    <col min="3" max="3" width="17.90625" customWidth="1"/>
    <col min="4" max="4" width="42.90625" customWidth="1"/>
    <col min="5" max="5" width="28.90625" customWidth="1"/>
    <col min="6" max="6" width="8" customWidth="1"/>
    <col min="7" max="7" width="12.90625" customWidth="1"/>
    <col min="8" max="8" width="15.36328125" customWidth="1"/>
    <col min="9" max="9" width="11.08984375" customWidth="1"/>
    <col min="10" max="12" width="15.6328125" customWidth="1"/>
    <col min="13" max="14" width="11.6328125" customWidth="1"/>
    <col min="15" max="15" width="14.6328125" customWidth="1"/>
    <col min="24" max="74" width="12.08984375" hidden="1"/>
    <col min="75" max="75" width="78.54296875" hidden="1" customWidth="1"/>
    <col min="76" max="77" width="12.08984375" hidden="1"/>
  </cols>
  <sheetData>
    <row r="1" spans="1:75" ht="54.75" customHeight="1" x14ac:dyDescent="0.35">
      <c r="A1" s="133" t="s">
        <v>73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AR1" s="26">
        <f>SUM(AI1:AI2)</f>
        <v>0</v>
      </c>
      <c r="AS1" s="26">
        <f>SUM(AJ1:AJ2)</f>
        <v>0</v>
      </c>
      <c r="AT1" s="26">
        <f>SUM(AK1:AK2)</f>
        <v>0</v>
      </c>
    </row>
    <row r="2" spans="1:75" ht="14.5" x14ac:dyDescent="0.35">
      <c r="A2" s="134" t="s">
        <v>1</v>
      </c>
      <c r="B2" s="135"/>
      <c r="C2" s="135"/>
      <c r="D2" s="144" t="s">
        <v>207</v>
      </c>
      <c r="E2" s="145"/>
      <c r="F2" s="135" t="s">
        <v>74</v>
      </c>
      <c r="G2" s="135"/>
      <c r="H2" s="135" t="s">
        <v>75</v>
      </c>
      <c r="I2" s="139" t="s">
        <v>2</v>
      </c>
      <c r="J2" s="135"/>
      <c r="K2" s="139" t="s">
        <v>76</v>
      </c>
      <c r="L2" s="135"/>
      <c r="M2" s="135"/>
      <c r="N2" s="135"/>
      <c r="O2" s="141"/>
    </row>
    <row r="3" spans="1:75" ht="14.5" x14ac:dyDescent="0.35">
      <c r="A3" s="136"/>
      <c r="B3" s="137"/>
      <c r="C3" s="137"/>
      <c r="D3" s="146"/>
      <c r="E3" s="146"/>
      <c r="F3" s="137"/>
      <c r="G3" s="137"/>
      <c r="H3" s="137"/>
      <c r="I3" s="137"/>
      <c r="J3" s="137"/>
      <c r="K3" s="137"/>
      <c r="L3" s="137"/>
      <c r="M3" s="137"/>
      <c r="N3" s="137"/>
      <c r="O3" s="142"/>
    </row>
    <row r="4" spans="1:75" ht="14.5" x14ac:dyDescent="0.35">
      <c r="A4" s="138" t="s">
        <v>5</v>
      </c>
      <c r="B4" s="137"/>
      <c r="C4" s="137"/>
      <c r="D4" s="140" t="s">
        <v>77</v>
      </c>
      <c r="E4" s="137"/>
      <c r="F4" s="137" t="s">
        <v>11</v>
      </c>
      <c r="G4" s="137"/>
      <c r="H4" s="137" t="s">
        <v>75</v>
      </c>
      <c r="I4" s="140" t="s">
        <v>6</v>
      </c>
      <c r="J4" s="137"/>
      <c r="K4" s="140" t="s">
        <v>78</v>
      </c>
      <c r="L4" s="137"/>
      <c r="M4" s="137"/>
      <c r="N4" s="137"/>
      <c r="O4" s="142"/>
    </row>
    <row r="5" spans="1:75" ht="14.5" x14ac:dyDescent="0.35">
      <c r="A5" s="13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42"/>
    </row>
    <row r="6" spans="1:75" ht="14.5" x14ac:dyDescent="0.35">
      <c r="A6" s="138" t="s">
        <v>8</v>
      </c>
      <c r="B6" s="137"/>
      <c r="C6" s="137"/>
      <c r="D6" s="140" t="s">
        <v>79</v>
      </c>
      <c r="E6" s="137"/>
      <c r="F6" s="137" t="s">
        <v>12</v>
      </c>
      <c r="G6" s="137"/>
      <c r="H6" s="137" t="s">
        <v>75</v>
      </c>
      <c r="I6" s="140" t="s">
        <v>9</v>
      </c>
      <c r="J6" s="137"/>
      <c r="K6" s="214" t="s">
        <v>80</v>
      </c>
      <c r="L6" s="214"/>
      <c r="M6" s="214"/>
      <c r="N6" s="214"/>
      <c r="O6" s="215"/>
    </row>
    <row r="7" spans="1:75" ht="14.5" x14ac:dyDescent="0.3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214"/>
      <c r="L7" s="214"/>
      <c r="M7" s="214"/>
      <c r="N7" s="214"/>
      <c r="O7" s="215"/>
    </row>
    <row r="8" spans="1:75" ht="14.5" x14ac:dyDescent="0.35">
      <c r="A8" s="138" t="s">
        <v>14</v>
      </c>
      <c r="B8" s="137"/>
      <c r="C8" s="137"/>
      <c r="D8" s="140" t="s">
        <v>75</v>
      </c>
      <c r="E8" s="137"/>
      <c r="F8" s="137" t="s">
        <v>81</v>
      </c>
      <c r="G8" s="137"/>
      <c r="H8" s="214">
        <v>0</v>
      </c>
      <c r="I8" s="140" t="s">
        <v>15</v>
      </c>
      <c r="J8" s="137"/>
      <c r="K8" s="216">
        <v>0</v>
      </c>
      <c r="L8" s="214"/>
      <c r="M8" s="214"/>
      <c r="N8" s="214"/>
      <c r="O8" s="215"/>
    </row>
    <row r="9" spans="1:75" ht="14.5" x14ac:dyDescent="0.35">
      <c r="A9" s="203"/>
      <c r="B9" s="204"/>
      <c r="C9" s="204"/>
      <c r="D9" s="204"/>
      <c r="E9" s="204"/>
      <c r="F9" s="204"/>
      <c r="G9" s="204"/>
      <c r="H9" s="217"/>
      <c r="I9" s="204"/>
      <c r="J9" s="204"/>
      <c r="K9" s="217"/>
      <c r="L9" s="217"/>
      <c r="M9" s="217"/>
      <c r="N9" s="217"/>
      <c r="O9" s="218"/>
    </row>
    <row r="10" spans="1:75" ht="14.5" x14ac:dyDescent="0.35">
      <c r="A10" s="27" t="s">
        <v>82</v>
      </c>
      <c r="B10" s="28" t="s">
        <v>83</v>
      </c>
      <c r="C10" s="28" t="s">
        <v>84</v>
      </c>
      <c r="D10" s="219" t="s">
        <v>85</v>
      </c>
      <c r="E10" s="220"/>
      <c r="F10" s="28" t="s">
        <v>86</v>
      </c>
      <c r="G10" s="29" t="s">
        <v>87</v>
      </c>
      <c r="H10" s="30" t="s">
        <v>88</v>
      </c>
      <c r="I10" s="31" t="s">
        <v>89</v>
      </c>
      <c r="J10" s="207" t="s">
        <v>90</v>
      </c>
      <c r="K10" s="208"/>
      <c r="L10" s="209"/>
      <c r="M10" s="210" t="s">
        <v>91</v>
      </c>
      <c r="N10" s="211"/>
      <c r="O10" s="32" t="s">
        <v>92</v>
      </c>
      <c r="BJ10" s="33" t="s">
        <v>93</v>
      </c>
      <c r="BK10" s="34" t="s">
        <v>94</v>
      </c>
      <c r="BV10" s="34" t="s">
        <v>95</v>
      </c>
    </row>
    <row r="11" spans="1:75" ht="14.5" x14ac:dyDescent="0.35">
      <c r="A11" s="35" t="s">
        <v>75</v>
      </c>
      <c r="B11" s="36" t="s">
        <v>75</v>
      </c>
      <c r="C11" s="36" t="s">
        <v>75</v>
      </c>
      <c r="D11" s="205" t="s">
        <v>96</v>
      </c>
      <c r="E11" s="206"/>
      <c r="F11" s="36" t="s">
        <v>75</v>
      </c>
      <c r="G11" s="36" t="s">
        <v>75</v>
      </c>
      <c r="H11" s="37" t="s">
        <v>97</v>
      </c>
      <c r="I11" s="38" t="s">
        <v>75</v>
      </c>
      <c r="J11" s="39" t="s">
        <v>98</v>
      </c>
      <c r="K11" s="40" t="s">
        <v>28</v>
      </c>
      <c r="L11" s="41" t="s">
        <v>99</v>
      </c>
      <c r="M11" s="42" t="s">
        <v>100</v>
      </c>
      <c r="N11" s="43" t="s">
        <v>99</v>
      </c>
      <c r="O11" s="44" t="s">
        <v>101</v>
      </c>
      <c r="Y11" s="33" t="s">
        <v>102</v>
      </c>
      <c r="Z11" s="33" t="s">
        <v>103</v>
      </c>
      <c r="AA11" s="33" t="s">
        <v>104</v>
      </c>
      <c r="AB11" s="33" t="s">
        <v>105</v>
      </c>
      <c r="AC11" s="33" t="s">
        <v>106</v>
      </c>
      <c r="AD11" s="33" t="s">
        <v>107</v>
      </c>
      <c r="AE11" s="33" t="s">
        <v>108</v>
      </c>
      <c r="AF11" s="33" t="s">
        <v>109</v>
      </c>
      <c r="AG11" s="33" t="s">
        <v>110</v>
      </c>
      <c r="BG11" s="33" t="s">
        <v>111</v>
      </c>
      <c r="BH11" s="33" t="s">
        <v>112</v>
      </c>
      <c r="BI11" s="33" t="s">
        <v>113</v>
      </c>
    </row>
    <row r="12" spans="1:75" ht="14.5" x14ac:dyDescent="0.35">
      <c r="A12" s="45" t="s">
        <v>10</v>
      </c>
      <c r="B12" s="46" t="s">
        <v>10</v>
      </c>
      <c r="C12" s="46" t="s">
        <v>10</v>
      </c>
      <c r="D12" s="212" t="s">
        <v>114</v>
      </c>
      <c r="E12" s="213"/>
      <c r="F12" s="47" t="s">
        <v>75</v>
      </c>
      <c r="G12" s="47" t="s">
        <v>75</v>
      </c>
      <c r="H12" s="47" t="s">
        <v>75</v>
      </c>
      <c r="I12" s="47" t="s">
        <v>75</v>
      </c>
      <c r="J12" s="48"/>
      <c r="K12" s="48"/>
      <c r="L12" s="48"/>
      <c r="M12" s="49" t="s">
        <v>10</v>
      </c>
      <c r="N12" s="48"/>
      <c r="O12" s="50" t="s">
        <v>10</v>
      </c>
    </row>
    <row r="13" spans="1:75" ht="14.5" x14ac:dyDescent="0.35">
      <c r="A13" s="51" t="s">
        <v>10</v>
      </c>
      <c r="B13" s="52" t="s">
        <v>10</v>
      </c>
      <c r="C13" s="52" t="s">
        <v>125</v>
      </c>
      <c r="D13" s="221" t="s">
        <v>126</v>
      </c>
      <c r="E13" s="222"/>
      <c r="F13" s="53" t="s">
        <v>75</v>
      </c>
      <c r="G13" s="53" t="s">
        <v>75</v>
      </c>
      <c r="H13" s="53" t="s">
        <v>75</v>
      </c>
      <c r="I13" s="53" t="s">
        <v>75</v>
      </c>
      <c r="J13" s="26">
        <f>SUM(J14:J16)</f>
        <v>0</v>
      </c>
      <c r="K13" s="26">
        <f>SUM(K14:K16)</f>
        <v>0</v>
      </c>
      <c r="L13" s="26">
        <f>SUM(L14:L16)</f>
        <v>0</v>
      </c>
      <c r="M13" s="33" t="s">
        <v>10</v>
      </c>
      <c r="N13" s="26">
        <f>SUM(N14:N16)</f>
        <v>0.54</v>
      </c>
      <c r="O13" s="54" t="s">
        <v>10</v>
      </c>
      <c r="AH13" s="33" t="s">
        <v>10</v>
      </c>
      <c r="AR13" s="26">
        <f>SUM(AI14:AI16)</f>
        <v>0</v>
      </c>
      <c r="AS13" s="26">
        <f>SUM(AJ14:AJ16)</f>
        <v>0</v>
      </c>
      <c r="AT13" s="26">
        <f>SUM(AK14:AK16)</f>
        <v>0</v>
      </c>
    </row>
    <row r="14" spans="1:75" ht="14.5" x14ac:dyDescent="0.35">
      <c r="A14" s="1" t="s">
        <v>127</v>
      </c>
      <c r="B14" s="2" t="s">
        <v>10</v>
      </c>
      <c r="C14" s="2" t="s">
        <v>128</v>
      </c>
      <c r="D14" s="140" t="s">
        <v>213</v>
      </c>
      <c r="E14" s="137"/>
      <c r="F14" s="2" t="s">
        <v>119</v>
      </c>
      <c r="G14" s="55">
        <v>1</v>
      </c>
      <c r="H14" s="55">
        <f>+'Dodávka kuchynského nábxtku'!F38</f>
        <v>0</v>
      </c>
      <c r="I14" s="56">
        <v>21</v>
      </c>
      <c r="J14" s="55">
        <f>ROUND(G14*AN14,2)</f>
        <v>0</v>
      </c>
      <c r="K14" s="55">
        <f>ROUND(G14*AO14,2)</f>
        <v>0</v>
      </c>
      <c r="L14" s="55">
        <f>ROUND(G14*H14,2)</f>
        <v>0</v>
      </c>
      <c r="M14" s="55">
        <v>0.18</v>
      </c>
      <c r="N14" s="55">
        <f>G14*M14</f>
        <v>0.18</v>
      </c>
      <c r="O14" s="57" t="s">
        <v>208</v>
      </c>
      <c r="Y14" s="55">
        <f>ROUND(IF(AP14="5",BI14,0),2)</f>
        <v>0</v>
      </c>
      <c r="AA14" s="55">
        <f>ROUND(IF(AP14="1",BG14,0),2)</f>
        <v>0</v>
      </c>
      <c r="AB14" s="55">
        <f>ROUND(IF(AP14="1",BH14,0),2)</f>
        <v>0</v>
      </c>
      <c r="AC14" s="55">
        <f>ROUND(IF(AP14="7",BG14,0),2)</f>
        <v>0</v>
      </c>
      <c r="AD14" s="55">
        <f>ROUND(IF(AP14="7",BH14,0),2)</f>
        <v>0</v>
      </c>
      <c r="AE14" s="55">
        <f>ROUND(IF(AP14="2",BG14,0),2)</f>
        <v>0</v>
      </c>
      <c r="AF14" s="55">
        <f>ROUND(IF(AP14="2",BH14,0),2)</f>
        <v>0</v>
      </c>
      <c r="AG14" s="55">
        <f>ROUND(IF(AP14="0",BI14,0),2)</f>
        <v>0</v>
      </c>
      <c r="AH14" s="33" t="s">
        <v>10</v>
      </c>
      <c r="AI14" s="55">
        <f>IF(AM14=0,L14,0)</f>
        <v>0</v>
      </c>
      <c r="AJ14" s="55">
        <f>IF(AM14=12,L14,0)</f>
        <v>0</v>
      </c>
      <c r="AK14" s="55">
        <f>IF(AM14=21,L14,0)</f>
        <v>0</v>
      </c>
      <c r="AM14" s="55">
        <v>21</v>
      </c>
      <c r="AN14" s="55">
        <f>H14*0.972682742</f>
        <v>0</v>
      </c>
      <c r="AO14" s="55">
        <f>H14*(1-0.972682742)</f>
        <v>0</v>
      </c>
      <c r="AP14" s="58" t="s">
        <v>121</v>
      </c>
      <c r="AU14" s="55">
        <f>ROUND(AV14+AW14,2)</f>
        <v>0</v>
      </c>
      <c r="AV14" s="55">
        <f>ROUND(G14*AN14,2)</f>
        <v>0</v>
      </c>
      <c r="AW14" s="55">
        <f>ROUND(G14*AO14,2)</f>
        <v>0</v>
      </c>
      <c r="AX14" s="58" t="s">
        <v>130</v>
      </c>
      <c r="AY14" s="58" t="s">
        <v>131</v>
      </c>
      <c r="AZ14" s="33" t="s">
        <v>117</v>
      </c>
      <c r="BB14" s="55">
        <f>AV14+AW14</f>
        <v>0</v>
      </c>
      <c r="BC14" s="55">
        <f>H14/(100-BD14)*100</f>
        <v>0</v>
      </c>
      <c r="BD14" s="55">
        <v>0</v>
      </c>
      <c r="BE14" s="55">
        <f>N14</f>
        <v>0.18</v>
      </c>
      <c r="BG14" s="55">
        <f>G14*AN14</f>
        <v>0</v>
      </c>
      <c r="BH14" s="55">
        <f>G14*AO14</f>
        <v>0</v>
      </c>
      <c r="BI14" s="55">
        <f>G14*H14</f>
        <v>0</v>
      </c>
      <c r="BJ14" s="58" t="s">
        <v>118</v>
      </c>
      <c r="BK14" s="55">
        <v>794</v>
      </c>
      <c r="BV14" s="55">
        <f>I14</f>
        <v>21</v>
      </c>
      <c r="BW14" s="3" t="s">
        <v>129</v>
      </c>
    </row>
    <row r="15" spans="1:75" ht="14.5" x14ac:dyDescent="0.35">
      <c r="A15" s="1" t="s">
        <v>132</v>
      </c>
      <c r="B15" s="2" t="s">
        <v>10</v>
      </c>
      <c r="C15" s="2" t="s">
        <v>128</v>
      </c>
      <c r="D15" s="140" t="s">
        <v>133</v>
      </c>
      <c r="E15" s="137"/>
      <c r="F15" s="2" t="s">
        <v>119</v>
      </c>
      <c r="G15" s="55">
        <v>1</v>
      </c>
      <c r="H15" s="55">
        <v>0</v>
      </c>
      <c r="I15" s="56">
        <v>21</v>
      </c>
      <c r="J15" s="55">
        <f>ROUND(G15*AN15,2)</f>
        <v>0</v>
      </c>
      <c r="K15" s="55">
        <f>ROUND(G15*AO15,2)</f>
        <v>0</v>
      </c>
      <c r="L15" s="55">
        <f>ROUND(G15*H15,2)</f>
        <v>0</v>
      </c>
      <c r="M15" s="55">
        <v>0.18</v>
      </c>
      <c r="N15" s="55">
        <f>G15*M15</f>
        <v>0.18</v>
      </c>
      <c r="O15" s="57" t="s">
        <v>208</v>
      </c>
      <c r="Y15" s="55">
        <f>ROUND(IF(AP15="5",BI15,0),2)</f>
        <v>0</v>
      </c>
      <c r="AA15" s="55">
        <f>ROUND(IF(AP15="1",BG15,0),2)</f>
        <v>0</v>
      </c>
      <c r="AB15" s="55">
        <f>ROUND(IF(AP15="1",BH15,0),2)</f>
        <v>0</v>
      </c>
      <c r="AC15" s="55">
        <f>ROUND(IF(AP15="7",BG15,0),2)</f>
        <v>0</v>
      </c>
      <c r="AD15" s="55">
        <f>ROUND(IF(AP15="7",BH15,0),2)</f>
        <v>0</v>
      </c>
      <c r="AE15" s="55">
        <f>ROUND(IF(AP15="2",BG15,0),2)</f>
        <v>0</v>
      </c>
      <c r="AF15" s="55">
        <f>ROUND(IF(AP15="2",BH15,0),2)</f>
        <v>0</v>
      </c>
      <c r="AG15" s="55">
        <f>ROUND(IF(AP15="0",BI15,0),2)</f>
        <v>0</v>
      </c>
      <c r="AH15" s="33" t="s">
        <v>10</v>
      </c>
      <c r="AI15" s="55">
        <f>IF(AM15=0,L15,0)</f>
        <v>0</v>
      </c>
      <c r="AJ15" s="55">
        <f>IF(AM15=12,L15,0)</f>
        <v>0</v>
      </c>
      <c r="AK15" s="55">
        <f>IF(AM15=21,L15,0)</f>
        <v>0</v>
      </c>
      <c r="AM15" s="55">
        <v>21</v>
      </c>
      <c r="AN15" s="55">
        <f>H15*0</f>
        <v>0</v>
      </c>
      <c r="AO15" s="55">
        <f>H15*(1-0)</f>
        <v>0</v>
      </c>
      <c r="AP15" s="58" t="s">
        <v>121</v>
      </c>
      <c r="AU15" s="55">
        <f>ROUND(AV15+AW15,2)</f>
        <v>0</v>
      </c>
      <c r="AV15" s="55">
        <f>ROUND(G15*AN15,2)</f>
        <v>0</v>
      </c>
      <c r="AW15" s="55">
        <f>ROUND(G15*AO15,2)</f>
        <v>0</v>
      </c>
      <c r="AX15" s="58" t="s">
        <v>130</v>
      </c>
      <c r="AY15" s="58" t="s">
        <v>131</v>
      </c>
      <c r="AZ15" s="33" t="s">
        <v>117</v>
      </c>
      <c r="BB15" s="55">
        <f>AV15+AW15</f>
        <v>0</v>
      </c>
      <c r="BC15" s="55">
        <f>H15/(100-BD15)*100</f>
        <v>0</v>
      </c>
      <c r="BD15" s="55">
        <v>0</v>
      </c>
      <c r="BE15" s="55">
        <f>N15</f>
        <v>0.18</v>
      </c>
      <c r="BG15" s="55">
        <f>G15*AN15</f>
        <v>0</v>
      </c>
      <c r="BH15" s="55">
        <f>G15*AO15</f>
        <v>0</v>
      </c>
      <c r="BI15" s="55">
        <f>G15*H15</f>
        <v>0</v>
      </c>
      <c r="BJ15" s="58" t="s">
        <v>118</v>
      </c>
      <c r="BK15" s="55">
        <v>794</v>
      </c>
      <c r="BV15" s="55">
        <f>I15</f>
        <v>21</v>
      </c>
      <c r="BW15" s="3" t="s">
        <v>133</v>
      </c>
    </row>
    <row r="16" spans="1:75" ht="14.5" x14ac:dyDescent="0.35">
      <c r="A16" s="1" t="s">
        <v>134</v>
      </c>
      <c r="B16" s="2" t="s">
        <v>10</v>
      </c>
      <c r="C16" s="2" t="s">
        <v>128</v>
      </c>
      <c r="D16" s="140" t="s">
        <v>135</v>
      </c>
      <c r="E16" s="137"/>
      <c r="F16" s="2" t="s">
        <v>119</v>
      </c>
      <c r="G16" s="55">
        <v>1</v>
      </c>
      <c r="H16" s="55">
        <v>0</v>
      </c>
      <c r="I16" s="56">
        <v>21</v>
      </c>
      <c r="J16" s="55">
        <f>ROUND(G16*AN16,2)</f>
        <v>0</v>
      </c>
      <c r="K16" s="55">
        <f>ROUND(G16*AO16,2)</f>
        <v>0</v>
      </c>
      <c r="L16" s="55">
        <f>ROUND(G16*H16,2)</f>
        <v>0</v>
      </c>
      <c r="M16" s="55">
        <v>0.18</v>
      </c>
      <c r="N16" s="55">
        <f>G16*M16</f>
        <v>0.18</v>
      </c>
      <c r="O16" s="57" t="s">
        <v>208</v>
      </c>
      <c r="Y16" s="55">
        <f>ROUND(IF(AP16="5",BI16,0),2)</f>
        <v>0</v>
      </c>
      <c r="AA16" s="55">
        <f>ROUND(IF(AP16="1",BG16,0),2)</f>
        <v>0</v>
      </c>
      <c r="AB16" s="55">
        <f>ROUND(IF(AP16="1",BH16,0),2)</f>
        <v>0</v>
      </c>
      <c r="AC16" s="55">
        <f>ROUND(IF(AP16="7",BG16,0),2)</f>
        <v>0</v>
      </c>
      <c r="AD16" s="55">
        <f>ROUND(IF(AP16="7",BH16,0),2)</f>
        <v>0</v>
      </c>
      <c r="AE16" s="55">
        <f>ROUND(IF(AP16="2",BG16,0),2)</f>
        <v>0</v>
      </c>
      <c r="AF16" s="55">
        <f>ROUND(IF(AP16="2",BH16,0),2)</f>
        <v>0</v>
      </c>
      <c r="AG16" s="55">
        <f>ROUND(IF(AP16="0",BI16,0),2)</f>
        <v>0</v>
      </c>
      <c r="AH16" s="33" t="s">
        <v>10</v>
      </c>
      <c r="AI16" s="55">
        <f>IF(AM16=0,L16,0)</f>
        <v>0</v>
      </c>
      <c r="AJ16" s="55">
        <f>IF(AM16=12,L16,0)</f>
        <v>0</v>
      </c>
      <c r="AK16" s="55">
        <f>IF(AM16=21,L16,0)</f>
        <v>0</v>
      </c>
      <c r="AM16" s="55">
        <v>21</v>
      </c>
      <c r="AN16" s="55">
        <f>H16*1</f>
        <v>0</v>
      </c>
      <c r="AO16" s="55">
        <f>H16*(1-1)</f>
        <v>0</v>
      </c>
      <c r="AP16" s="58" t="s">
        <v>121</v>
      </c>
      <c r="AU16" s="55">
        <f>ROUND(AV16+AW16,2)</f>
        <v>0</v>
      </c>
      <c r="AV16" s="55">
        <f>ROUND(G16*AN16,2)</f>
        <v>0</v>
      </c>
      <c r="AW16" s="55">
        <f>ROUND(G16*AO16,2)</f>
        <v>0</v>
      </c>
      <c r="AX16" s="58" t="s">
        <v>130</v>
      </c>
      <c r="AY16" s="58" t="s">
        <v>131</v>
      </c>
      <c r="AZ16" s="33" t="s">
        <v>117</v>
      </c>
      <c r="BB16" s="55">
        <f>AV16+AW16</f>
        <v>0</v>
      </c>
      <c r="BC16" s="55">
        <f>H16/(100-BD16)*100</f>
        <v>0</v>
      </c>
      <c r="BD16" s="55">
        <v>0</v>
      </c>
      <c r="BE16" s="55">
        <f>N16</f>
        <v>0.18</v>
      </c>
      <c r="BG16" s="55">
        <f>G16*AN16</f>
        <v>0</v>
      </c>
      <c r="BH16" s="55">
        <f>G16*AO16</f>
        <v>0</v>
      </c>
      <c r="BI16" s="55">
        <f>G16*H16</f>
        <v>0</v>
      </c>
      <c r="BJ16" s="58" t="s">
        <v>118</v>
      </c>
      <c r="BK16" s="55">
        <v>794</v>
      </c>
      <c r="BV16" s="55">
        <f>I16</f>
        <v>21</v>
      </c>
      <c r="BW16" s="3" t="s">
        <v>135</v>
      </c>
    </row>
    <row r="17" spans="1:75" ht="14.5" x14ac:dyDescent="0.35">
      <c r="A17" s="51" t="s">
        <v>10</v>
      </c>
      <c r="B17" s="52" t="s">
        <v>10</v>
      </c>
      <c r="C17" s="52" t="s">
        <v>136</v>
      </c>
      <c r="D17" s="221" t="s">
        <v>137</v>
      </c>
      <c r="E17" s="222"/>
      <c r="F17" s="53" t="s">
        <v>75</v>
      </c>
      <c r="G17" s="53" t="s">
        <v>75</v>
      </c>
      <c r="H17" s="53" t="s">
        <v>75</v>
      </c>
      <c r="I17" s="53" t="s">
        <v>75</v>
      </c>
      <c r="J17" s="26">
        <f>SUM(J18:J19)</f>
        <v>0</v>
      </c>
      <c r="K17" s="26">
        <f>SUM(K18:K19)</f>
        <v>0</v>
      </c>
      <c r="L17" s="26">
        <f>SUM(L18:L19)</f>
        <v>0</v>
      </c>
      <c r="M17" s="33" t="s">
        <v>10</v>
      </c>
      <c r="N17" s="26">
        <f>SUM(N18:N19)</f>
        <v>0</v>
      </c>
      <c r="O17" s="54" t="s">
        <v>10</v>
      </c>
      <c r="AH17" s="33" t="s">
        <v>10</v>
      </c>
      <c r="AR17" s="26">
        <f>SUM(AI18:AI19)</f>
        <v>0</v>
      </c>
      <c r="AS17" s="26">
        <f>SUM(AJ18:AJ19)</f>
        <v>0</v>
      </c>
      <c r="AT17" s="26">
        <f>SUM(AK18:AK19)</f>
        <v>0</v>
      </c>
    </row>
    <row r="18" spans="1:75" ht="14.5" x14ac:dyDescent="0.35">
      <c r="A18" s="1" t="s">
        <v>138</v>
      </c>
      <c r="B18" s="2" t="s">
        <v>10</v>
      </c>
      <c r="C18" s="2" t="s">
        <v>139</v>
      </c>
      <c r="D18" s="140" t="s">
        <v>140</v>
      </c>
      <c r="E18" s="137"/>
      <c r="F18" s="2" t="s">
        <v>123</v>
      </c>
      <c r="G18" s="55">
        <v>38</v>
      </c>
      <c r="H18" s="127">
        <v>0</v>
      </c>
      <c r="I18" s="56">
        <v>21</v>
      </c>
      <c r="J18" s="55">
        <f>ROUND(G18*AN18,2)</f>
        <v>0</v>
      </c>
      <c r="K18" s="55">
        <f>ROUND(G18*AO18,2)</f>
        <v>0</v>
      </c>
      <c r="L18" s="55">
        <f>ROUND(G18*H18,2)</f>
        <v>0</v>
      </c>
      <c r="M18" s="55">
        <v>0</v>
      </c>
      <c r="N18" s="55">
        <f>G18*M18</f>
        <v>0</v>
      </c>
      <c r="O18" s="57" t="s">
        <v>208</v>
      </c>
      <c r="Y18" s="55">
        <f>ROUND(IF(AP18="5",BI18,0),2)</f>
        <v>0</v>
      </c>
      <c r="AA18" s="55">
        <f>ROUND(IF(AP18="1",BG18,0),2)</f>
        <v>0</v>
      </c>
      <c r="AB18" s="55">
        <f>ROUND(IF(AP18="1",BH18,0),2)</f>
        <v>0</v>
      </c>
      <c r="AC18" s="55">
        <f>ROUND(IF(AP18="7",BG18,0),2)</f>
        <v>0</v>
      </c>
      <c r="AD18" s="55">
        <f>ROUND(IF(AP18="7",BH18,0),2)</f>
        <v>0</v>
      </c>
      <c r="AE18" s="55">
        <f>ROUND(IF(AP18="2",BG18,0),2)</f>
        <v>0</v>
      </c>
      <c r="AF18" s="55">
        <f>ROUND(IF(AP18="2",BH18,0),2)</f>
        <v>0</v>
      </c>
      <c r="AG18" s="55">
        <f>ROUND(IF(AP18="0",BI18,0),2)</f>
        <v>0</v>
      </c>
      <c r="AH18" s="33" t="s">
        <v>10</v>
      </c>
      <c r="AI18" s="55">
        <f>IF(AM18=0,L18,0)</f>
        <v>0</v>
      </c>
      <c r="AJ18" s="55">
        <f>IF(AM18=12,L18,0)</f>
        <v>0</v>
      </c>
      <c r="AK18" s="55">
        <f>IF(AM18=21,L18,0)</f>
        <v>0</v>
      </c>
      <c r="AM18" s="55">
        <v>21</v>
      </c>
      <c r="AN18" s="55">
        <f>H18*0.875000887</f>
        <v>0</v>
      </c>
      <c r="AO18" s="55">
        <f>H18*(1-0.875000887)</f>
        <v>0</v>
      </c>
      <c r="AP18" s="58" t="s">
        <v>121</v>
      </c>
      <c r="AU18" s="55">
        <f>ROUND(AV18+AW18,2)</f>
        <v>0</v>
      </c>
      <c r="AV18" s="55">
        <f>ROUND(G18*AN18,2)</f>
        <v>0</v>
      </c>
      <c r="AW18" s="55">
        <f>ROUND(G18*AO18,2)</f>
        <v>0</v>
      </c>
      <c r="AX18" s="58" t="s">
        <v>141</v>
      </c>
      <c r="AY18" s="58" t="s">
        <v>131</v>
      </c>
      <c r="AZ18" s="33" t="s">
        <v>117</v>
      </c>
      <c r="BB18" s="55">
        <f>AV18+AW18</f>
        <v>0</v>
      </c>
      <c r="BC18" s="55">
        <f>H18/(100-BD18)*100</f>
        <v>0</v>
      </c>
      <c r="BD18" s="55">
        <v>0</v>
      </c>
      <c r="BE18" s="55">
        <f>N18</f>
        <v>0</v>
      </c>
      <c r="BG18" s="55">
        <f>G18*AN18</f>
        <v>0</v>
      </c>
      <c r="BH18" s="55">
        <f>G18*AO18</f>
        <v>0</v>
      </c>
      <c r="BI18" s="55">
        <f>G18*H18</f>
        <v>0</v>
      </c>
      <c r="BJ18" s="58" t="s">
        <v>118</v>
      </c>
      <c r="BK18" s="55">
        <v>795</v>
      </c>
      <c r="BV18" s="55">
        <f>I18</f>
        <v>21</v>
      </c>
      <c r="BW18" s="3" t="s">
        <v>140</v>
      </c>
    </row>
    <row r="19" spans="1:75" ht="14.5" x14ac:dyDescent="0.35">
      <c r="A19" s="1" t="s">
        <v>142</v>
      </c>
      <c r="B19" s="2" t="s">
        <v>10</v>
      </c>
      <c r="C19" s="2" t="s">
        <v>143</v>
      </c>
      <c r="D19" s="140" t="s">
        <v>144</v>
      </c>
      <c r="E19" s="137"/>
      <c r="F19" s="2" t="s">
        <v>123</v>
      </c>
      <c r="G19" s="55">
        <v>164</v>
      </c>
      <c r="H19" s="127">
        <v>0</v>
      </c>
      <c r="I19" s="56">
        <v>21</v>
      </c>
      <c r="J19" s="55">
        <f>ROUND(G19*AN19,2)</f>
        <v>0</v>
      </c>
      <c r="K19" s="55">
        <f>ROUND(G19*AO19,2)</f>
        <v>0</v>
      </c>
      <c r="L19" s="55">
        <f>ROUND(G19*H19,2)</f>
        <v>0</v>
      </c>
      <c r="M19" s="55">
        <v>0</v>
      </c>
      <c r="N19" s="55">
        <f>G19*M19</f>
        <v>0</v>
      </c>
      <c r="O19" s="57" t="s">
        <v>208</v>
      </c>
      <c r="Y19" s="55">
        <f>ROUND(IF(AP19="5",BI19,0),2)</f>
        <v>0</v>
      </c>
      <c r="AA19" s="55">
        <f>ROUND(IF(AP19="1",BG19,0),2)</f>
        <v>0</v>
      </c>
      <c r="AB19" s="55">
        <f>ROUND(IF(AP19="1",BH19,0),2)</f>
        <v>0</v>
      </c>
      <c r="AC19" s="55">
        <f>ROUND(IF(AP19="7",BG19,0),2)</f>
        <v>0</v>
      </c>
      <c r="AD19" s="55">
        <f>ROUND(IF(AP19="7",BH19,0),2)</f>
        <v>0</v>
      </c>
      <c r="AE19" s="55">
        <f>ROUND(IF(AP19="2",BG19,0),2)</f>
        <v>0</v>
      </c>
      <c r="AF19" s="55">
        <f>ROUND(IF(AP19="2",BH19,0),2)</f>
        <v>0</v>
      </c>
      <c r="AG19" s="55">
        <f>ROUND(IF(AP19="0",BI19,0),2)</f>
        <v>0</v>
      </c>
      <c r="AH19" s="33" t="s">
        <v>10</v>
      </c>
      <c r="AI19" s="55">
        <f>IF(AM19=0,L19,0)</f>
        <v>0</v>
      </c>
      <c r="AJ19" s="55">
        <f>IF(AM19=12,L19,0)</f>
        <v>0</v>
      </c>
      <c r="AK19" s="55">
        <f>IF(AM19=21,L19,0)</f>
        <v>0</v>
      </c>
      <c r="AM19" s="55">
        <v>21</v>
      </c>
      <c r="AN19" s="55">
        <f>H19*0.93103598</f>
        <v>0</v>
      </c>
      <c r="AO19" s="55">
        <f>H19*(1-0.93103598)</f>
        <v>0</v>
      </c>
      <c r="AP19" s="58" t="s">
        <v>121</v>
      </c>
      <c r="AU19" s="55">
        <f>ROUND(AV19+AW19,2)</f>
        <v>0</v>
      </c>
      <c r="AV19" s="55">
        <f>ROUND(G19*AN19,2)</f>
        <v>0</v>
      </c>
      <c r="AW19" s="55">
        <f>ROUND(G19*AO19,2)</f>
        <v>0</v>
      </c>
      <c r="AX19" s="58" t="s">
        <v>141</v>
      </c>
      <c r="AY19" s="58" t="s">
        <v>131</v>
      </c>
      <c r="AZ19" s="33" t="s">
        <v>117</v>
      </c>
      <c r="BB19" s="55">
        <f>AV19+AW19</f>
        <v>0</v>
      </c>
      <c r="BC19" s="55">
        <f>H19/(100-BD19)*100</f>
        <v>0</v>
      </c>
      <c r="BD19" s="55">
        <v>0</v>
      </c>
      <c r="BE19" s="55">
        <f>N19</f>
        <v>0</v>
      </c>
      <c r="BG19" s="55">
        <f>G19*AN19</f>
        <v>0</v>
      </c>
      <c r="BH19" s="55">
        <f>G19*AO19</f>
        <v>0</v>
      </c>
      <c r="BI19" s="55">
        <f>G19*H19</f>
        <v>0</v>
      </c>
      <c r="BJ19" s="58" t="s">
        <v>118</v>
      </c>
      <c r="BK19" s="55">
        <v>795</v>
      </c>
      <c r="BV19" s="55">
        <f>I19</f>
        <v>21</v>
      </c>
      <c r="BW19" s="3" t="s">
        <v>144</v>
      </c>
    </row>
    <row r="20" spans="1:75" ht="14.5" x14ac:dyDescent="0.35">
      <c r="A20" s="51" t="s">
        <v>10</v>
      </c>
      <c r="B20" s="52" t="s">
        <v>10</v>
      </c>
      <c r="C20" s="52" t="s">
        <v>124</v>
      </c>
      <c r="D20" s="221" t="s">
        <v>146</v>
      </c>
      <c r="E20" s="222"/>
      <c r="F20" s="53" t="s">
        <v>75</v>
      </c>
      <c r="G20" s="53" t="s">
        <v>75</v>
      </c>
      <c r="H20" s="53" t="s">
        <v>75</v>
      </c>
      <c r="I20" s="53" t="s">
        <v>75</v>
      </c>
      <c r="J20" s="26">
        <f>SUM(J21:J22)</f>
        <v>0</v>
      </c>
      <c r="K20" s="26">
        <f>SUM(K21:K22)</f>
        <v>0</v>
      </c>
      <c r="L20" s="26">
        <f>SUM(L21:L22)</f>
        <v>0</v>
      </c>
      <c r="M20" s="33" t="s">
        <v>10</v>
      </c>
      <c r="N20" s="26">
        <f>SUM(N21:N22)</f>
        <v>2.8576799999999999E-2</v>
      </c>
      <c r="O20" s="54" t="s">
        <v>10</v>
      </c>
      <c r="AH20" s="33" t="s">
        <v>10</v>
      </c>
      <c r="AR20" s="26">
        <f>SUM(AI21:AI22)</f>
        <v>0</v>
      </c>
      <c r="AS20" s="26">
        <f>SUM(AJ21:AJ22)</f>
        <v>0</v>
      </c>
      <c r="AT20" s="26">
        <f>SUM(AK21:AK22)</f>
        <v>0</v>
      </c>
    </row>
    <row r="21" spans="1:75" ht="14.5" x14ac:dyDescent="0.35">
      <c r="A21" s="1" t="s">
        <v>147</v>
      </c>
      <c r="B21" s="2" t="s">
        <v>10</v>
      </c>
      <c r="C21" s="2" t="s">
        <v>148</v>
      </c>
      <c r="D21" s="140" t="s">
        <v>149</v>
      </c>
      <c r="E21" s="137"/>
      <c r="F21" s="2" t="s">
        <v>116</v>
      </c>
      <c r="G21" s="55">
        <v>714.42</v>
      </c>
      <c r="H21" s="127">
        <v>0</v>
      </c>
      <c r="I21" s="56">
        <v>21</v>
      </c>
      <c r="J21" s="55">
        <f>ROUND(G21*AN21,2)</f>
        <v>0</v>
      </c>
      <c r="K21" s="55">
        <f>ROUND(G21*AO21,2)</f>
        <v>0</v>
      </c>
      <c r="L21" s="55">
        <f t="shared" ref="L21:L22" si="0">ROUND(G21*H21,2)</f>
        <v>0</v>
      </c>
      <c r="M21" s="55">
        <v>4.0000000000000003E-5</v>
      </c>
      <c r="N21" s="55">
        <f>G21*M21</f>
        <v>2.8576799999999999E-2</v>
      </c>
      <c r="O21" s="57" t="s">
        <v>208</v>
      </c>
      <c r="Y21" s="55">
        <f t="shared" ref="Y21:Y22" si="1">ROUND(IF(AP21="5",BI21,0),2)</f>
        <v>0</v>
      </c>
      <c r="AA21" s="55">
        <f t="shared" ref="AA21:AA22" si="2">ROUND(IF(AP21="1",BG21,0),2)</f>
        <v>0</v>
      </c>
      <c r="AB21" s="55">
        <f t="shared" ref="AB21:AB22" si="3">ROUND(IF(AP21="1",BH21,0),2)</f>
        <v>0</v>
      </c>
      <c r="AC21" s="55">
        <f t="shared" ref="AC21:AC22" si="4">ROUND(IF(AP21="7",BG21,0),2)</f>
        <v>0</v>
      </c>
      <c r="AD21" s="55">
        <f t="shared" ref="AD21:AD22" si="5">ROUND(IF(AP21="7",BH21,0),2)</f>
        <v>0</v>
      </c>
      <c r="AE21" s="55">
        <f t="shared" ref="AE21:AE22" si="6">ROUND(IF(AP21="2",BG21,0),2)</f>
        <v>0</v>
      </c>
      <c r="AF21" s="55">
        <f t="shared" ref="AF21:AF22" si="7">ROUND(IF(AP21="2",BH21,0),2)</f>
        <v>0</v>
      </c>
      <c r="AG21" s="55">
        <f t="shared" ref="AG21:AG22" si="8">ROUND(IF(AP21="0",BI21,0),2)</f>
        <v>0</v>
      </c>
      <c r="AH21" s="33" t="s">
        <v>10</v>
      </c>
      <c r="AI21" s="55">
        <f>IF(AM21=0,L21,0)</f>
        <v>0</v>
      </c>
      <c r="AJ21" s="55">
        <f>IF(AM21=12,L21,0)</f>
        <v>0</v>
      </c>
      <c r="AK21" s="55">
        <f>IF(AM21=21,L21,0)</f>
        <v>0</v>
      </c>
      <c r="AM21" s="55">
        <v>21</v>
      </c>
      <c r="AN21" s="55">
        <f>H21*0.012649383</f>
        <v>0</v>
      </c>
      <c r="AO21" s="55">
        <f>H21*(1-0.012649383)</f>
        <v>0</v>
      </c>
      <c r="AP21" s="58" t="s">
        <v>115</v>
      </c>
      <c r="AU21" s="55">
        <f t="shared" ref="AU21:AU22" si="9">ROUND(AV21+AW21,2)</f>
        <v>0</v>
      </c>
      <c r="AV21" s="55">
        <f>ROUND(G21*AN21,2)</f>
        <v>0</v>
      </c>
      <c r="AW21" s="55">
        <f>ROUND(G21*AO21,2)</f>
        <v>0</v>
      </c>
      <c r="AX21" s="58" t="s">
        <v>150</v>
      </c>
      <c r="AY21" s="58" t="s">
        <v>145</v>
      </c>
      <c r="AZ21" s="33" t="s">
        <v>117</v>
      </c>
      <c r="BB21" s="55">
        <f t="shared" ref="BB21:BB22" si="10">AV21+AW21</f>
        <v>0</v>
      </c>
      <c r="BC21" s="55">
        <f>H21/(100-BD21)*100</f>
        <v>0</v>
      </c>
      <c r="BD21" s="55">
        <v>0</v>
      </c>
      <c r="BE21" s="55">
        <f t="shared" ref="BE21:BE22" si="11">N21</f>
        <v>2.8576799999999999E-2</v>
      </c>
      <c r="BG21" s="55">
        <f>G21*AN21</f>
        <v>0</v>
      </c>
      <c r="BH21" s="55">
        <f>G21*AO21</f>
        <v>0</v>
      </c>
      <c r="BI21" s="55">
        <f>G21*H21</f>
        <v>0</v>
      </c>
      <c r="BJ21" s="58" t="s">
        <v>118</v>
      </c>
      <c r="BK21" s="55">
        <v>95</v>
      </c>
      <c r="BV21" s="55">
        <f>I21</f>
        <v>21</v>
      </c>
      <c r="BW21" s="3" t="s">
        <v>149</v>
      </c>
    </row>
    <row r="22" spans="1:75" ht="25" x14ac:dyDescent="0.35">
      <c r="A22" s="1" t="s">
        <v>151</v>
      </c>
      <c r="B22" s="2" t="s">
        <v>10</v>
      </c>
      <c r="C22" s="2" t="s">
        <v>152</v>
      </c>
      <c r="D22" s="140" t="s">
        <v>153</v>
      </c>
      <c r="E22" s="137"/>
      <c r="F22" s="2" t="s">
        <v>116</v>
      </c>
      <c r="G22" s="55">
        <v>500</v>
      </c>
      <c r="H22" s="127">
        <v>0</v>
      </c>
      <c r="I22" s="56">
        <v>21</v>
      </c>
      <c r="J22" s="55">
        <f>ROUND(G22*AN22,2)</f>
        <v>0</v>
      </c>
      <c r="K22" s="55">
        <f>ROUND(G22*AO22,2)</f>
        <v>0</v>
      </c>
      <c r="L22" s="55">
        <f t="shared" si="0"/>
        <v>0</v>
      </c>
      <c r="M22" s="55">
        <v>0</v>
      </c>
      <c r="N22" s="55">
        <f>G22*M22</f>
        <v>0</v>
      </c>
      <c r="O22" s="57" t="s">
        <v>208</v>
      </c>
      <c r="Y22" s="55">
        <f t="shared" si="1"/>
        <v>0</v>
      </c>
      <c r="AA22" s="55">
        <f t="shared" si="2"/>
        <v>0</v>
      </c>
      <c r="AB22" s="55">
        <f t="shared" si="3"/>
        <v>0</v>
      </c>
      <c r="AC22" s="55">
        <f t="shared" si="4"/>
        <v>0</v>
      </c>
      <c r="AD22" s="55">
        <f t="shared" si="5"/>
        <v>0</v>
      </c>
      <c r="AE22" s="55">
        <f t="shared" si="6"/>
        <v>0</v>
      </c>
      <c r="AF22" s="55">
        <f t="shared" si="7"/>
        <v>0</v>
      </c>
      <c r="AG22" s="55">
        <f t="shared" si="8"/>
        <v>0</v>
      </c>
      <c r="AH22" s="33" t="s">
        <v>10</v>
      </c>
      <c r="AI22" s="55">
        <f>IF(AM22=0,L22,0)</f>
        <v>0</v>
      </c>
      <c r="AJ22" s="55">
        <f>IF(AM22=12,L22,0)</f>
        <v>0</v>
      </c>
      <c r="AK22" s="55">
        <f>IF(AM22=21,L22,0)</f>
        <v>0</v>
      </c>
      <c r="AM22" s="55">
        <v>21</v>
      </c>
      <c r="AN22" s="55">
        <f>H22*0</f>
        <v>0</v>
      </c>
      <c r="AO22" s="55">
        <f>H22*(1-0)</f>
        <v>0</v>
      </c>
      <c r="AP22" s="58" t="s">
        <v>115</v>
      </c>
      <c r="AU22" s="55">
        <f t="shared" si="9"/>
        <v>0</v>
      </c>
      <c r="AV22" s="55">
        <f>ROUND(G22*AN22,2)</f>
        <v>0</v>
      </c>
      <c r="AW22" s="55">
        <f>ROUND(G22*AO22,2)</f>
        <v>0</v>
      </c>
      <c r="AX22" s="58" t="s">
        <v>150</v>
      </c>
      <c r="AY22" s="58" t="s">
        <v>145</v>
      </c>
      <c r="AZ22" s="33" t="s">
        <v>117</v>
      </c>
      <c r="BB22" s="55">
        <f t="shared" si="10"/>
        <v>0</v>
      </c>
      <c r="BC22" s="55">
        <f>H22/(100-BD22)*100</f>
        <v>0</v>
      </c>
      <c r="BD22" s="55">
        <v>0</v>
      </c>
      <c r="BE22" s="55">
        <f t="shared" si="11"/>
        <v>0</v>
      </c>
      <c r="BG22" s="55">
        <f>G22*AN22</f>
        <v>0</v>
      </c>
      <c r="BH22" s="55">
        <f>G22*AO22</f>
        <v>0</v>
      </c>
      <c r="BI22" s="55">
        <f>G22*H22</f>
        <v>0</v>
      </c>
      <c r="BJ22" s="58" t="s">
        <v>118</v>
      </c>
      <c r="BK22" s="55">
        <v>95</v>
      </c>
      <c r="BV22" s="55">
        <f>I22</f>
        <v>21</v>
      </c>
      <c r="BW22" s="3" t="s">
        <v>153</v>
      </c>
    </row>
    <row r="23" spans="1:75" ht="14.5" x14ac:dyDescent="0.35">
      <c r="A23" s="51" t="s">
        <v>10</v>
      </c>
      <c r="B23" s="52" t="s">
        <v>10</v>
      </c>
      <c r="C23" s="52" t="s">
        <v>154</v>
      </c>
      <c r="D23" s="221" t="s">
        <v>155</v>
      </c>
      <c r="E23" s="222"/>
      <c r="F23" s="53" t="s">
        <v>75</v>
      </c>
      <c r="G23" s="53" t="s">
        <v>75</v>
      </c>
      <c r="H23" s="53" t="s">
        <v>75</v>
      </c>
      <c r="I23" s="53" t="s">
        <v>75</v>
      </c>
      <c r="J23" s="26">
        <f>SUM(J24:J24)</f>
        <v>0</v>
      </c>
      <c r="K23" s="26">
        <f>SUM(K24:K24)</f>
        <v>0</v>
      </c>
      <c r="L23" s="26">
        <f>SUM(L24:L24)</f>
        <v>0</v>
      </c>
      <c r="M23" s="33" t="s">
        <v>10</v>
      </c>
      <c r="N23" s="26">
        <f>SUM(N24:N24)</f>
        <v>0</v>
      </c>
      <c r="O23" s="54" t="s">
        <v>10</v>
      </c>
      <c r="AH23" s="33" t="s">
        <v>10</v>
      </c>
      <c r="AR23" s="26">
        <f>SUM(AI24:AI24)</f>
        <v>0</v>
      </c>
      <c r="AS23" s="26">
        <f>SUM(AJ24:AJ24)</f>
        <v>0</v>
      </c>
      <c r="AT23" s="26">
        <f>SUM(AK24:AK24)</f>
        <v>0</v>
      </c>
    </row>
    <row r="24" spans="1:75" ht="14.5" x14ac:dyDescent="0.35">
      <c r="A24" s="1" t="s">
        <v>156</v>
      </c>
      <c r="B24" s="2" t="s">
        <v>10</v>
      </c>
      <c r="C24" s="2" t="s">
        <v>157</v>
      </c>
      <c r="D24" s="140" t="s">
        <v>158</v>
      </c>
      <c r="E24" s="137"/>
      <c r="F24" s="2" t="s">
        <v>122</v>
      </c>
      <c r="G24" s="55">
        <v>2.5</v>
      </c>
      <c r="H24" s="127">
        <v>0</v>
      </c>
      <c r="I24" s="56">
        <v>21</v>
      </c>
      <c r="J24" s="55">
        <f>ROUND(G24*AN24,2)</f>
        <v>0</v>
      </c>
      <c r="K24" s="55">
        <f>ROUND(G24*AO24,2)</f>
        <v>0</v>
      </c>
      <c r="L24" s="55">
        <f>ROUND(G24*H24,2)</f>
        <v>0</v>
      </c>
      <c r="M24" s="55">
        <v>0</v>
      </c>
      <c r="N24" s="55">
        <f>G24*M24</f>
        <v>0</v>
      </c>
      <c r="O24" s="57" t="s">
        <v>208</v>
      </c>
      <c r="Y24" s="55">
        <f>ROUND(IF(AP24="5",BI24,0),2)</f>
        <v>0</v>
      </c>
      <c r="AA24" s="55">
        <f>ROUND(IF(AP24="1",BG24,0),2)</f>
        <v>0</v>
      </c>
      <c r="AB24" s="55">
        <f>ROUND(IF(AP24="1",BH24,0),2)</f>
        <v>0</v>
      </c>
      <c r="AC24" s="55">
        <f>ROUND(IF(AP24="7",BG24,0),2)</f>
        <v>0</v>
      </c>
      <c r="AD24" s="55">
        <f>ROUND(IF(AP24="7",BH24,0),2)</f>
        <v>0</v>
      </c>
      <c r="AE24" s="55">
        <f>ROUND(IF(AP24="2",BG24,0),2)</f>
        <v>0</v>
      </c>
      <c r="AF24" s="55">
        <f>ROUND(IF(AP24="2",BH24,0),2)</f>
        <v>0</v>
      </c>
      <c r="AG24" s="55">
        <f>ROUND(IF(AP24="0",BI24,0),2)</f>
        <v>0</v>
      </c>
      <c r="AH24" s="33" t="s">
        <v>10</v>
      </c>
      <c r="AI24" s="55">
        <f>IF(AM24=0,L24,0)</f>
        <v>0</v>
      </c>
      <c r="AJ24" s="55">
        <f>IF(AM24=12,L24,0)</f>
        <v>0</v>
      </c>
      <c r="AK24" s="55">
        <f>IF(AM24=21,L24,0)</f>
        <v>0</v>
      </c>
      <c r="AM24" s="55">
        <v>21</v>
      </c>
      <c r="AN24" s="55">
        <f>H24*0</f>
        <v>0</v>
      </c>
      <c r="AO24" s="55">
        <f>H24*(1-0)</f>
        <v>0</v>
      </c>
      <c r="AP24" s="58" t="s">
        <v>120</v>
      </c>
      <c r="AU24" s="55">
        <f>ROUND(AV24+AW24,2)</f>
        <v>0</v>
      </c>
      <c r="AV24" s="55">
        <f>ROUND(G24*AN24,2)</f>
        <v>0</v>
      </c>
      <c r="AW24" s="55">
        <f>ROUND(G24*AO24,2)</f>
        <v>0</v>
      </c>
      <c r="AX24" s="58" t="s">
        <v>159</v>
      </c>
      <c r="AY24" s="58" t="s">
        <v>145</v>
      </c>
      <c r="AZ24" s="33" t="s">
        <v>117</v>
      </c>
      <c r="BB24" s="55">
        <f>AV24+AW24</f>
        <v>0</v>
      </c>
      <c r="BC24" s="55">
        <f>H24/(100-BD24)*100</f>
        <v>0</v>
      </c>
      <c r="BD24" s="55">
        <v>0</v>
      </c>
      <c r="BE24" s="55">
        <f>N24</f>
        <v>0</v>
      </c>
      <c r="BG24" s="55">
        <f>G24*AN24</f>
        <v>0</v>
      </c>
      <c r="BH24" s="55">
        <f>G24*AO24</f>
        <v>0</v>
      </c>
      <c r="BI24" s="55">
        <f>G24*H24</f>
        <v>0</v>
      </c>
      <c r="BJ24" s="58" t="s">
        <v>118</v>
      </c>
      <c r="BK24" s="55"/>
      <c r="BV24" s="55">
        <f>I24</f>
        <v>21</v>
      </c>
      <c r="BW24" s="3" t="s">
        <v>158</v>
      </c>
    </row>
    <row r="25" spans="1:75" ht="14.5" x14ac:dyDescent="0.35">
      <c r="J25" s="223" t="s">
        <v>160</v>
      </c>
      <c r="K25" s="223"/>
      <c r="L25" s="59">
        <f>+L23+L20+L17+L13</f>
        <v>0</v>
      </c>
      <c r="O25" s="57" t="s">
        <v>208</v>
      </c>
    </row>
    <row r="26" spans="1:75" ht="14.5" x14ac:dyDescent="0.35">
      <c r="J26" s="146" t="s">
        <v>161</v>
      </c>
      <c r="K26" s="146"/>
      <c r="L26" s="60">
        <v>0</v>
      </c>
    </row>
    <row r="27" spans="1:75" ht="14.5" x14ac:dyDescent="0.35">
      <c r="J27" s="146" t="s">
        <v>162</v>
      </c>
      <c r="K27" s="146"/>
      <c r="L27" s="60">
        <f>ROUND(L25*(1-L26/100),0)</f>
        <v>0</v>
      </c>
    </row>
    <row r="28" spans="1:75" ht="14.5" x14ac:dyDescent="0.35">
      <c r="A28" s="61" t="s">
        <v>60</v>
      </c>
    </row>
    <row r="29" spans="1:75" ht="12.75" customHeight="1" x14ac:dyDescent="0.35">
      <c r="A29" s="140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</sheetData>
  <sheetProtection algorithmName="SHA-512" hashValue="S+Nd8KPPJNvKca3/lBUPk5bJXloiD1XpY714gjVNaDRan9Modi7ahsXTHB1wG0Ucd/KCUPf3//vubJ3+MgHeKQ==" saltValue="wqfW2pzmbcIk2WbAmdApIw==" spinCount="100000" sheet="1" objects="1" scenarios="1"/>
  <mergeCells count="46">
    <mergeCell ref="J25:K25"/>
    <mergeCell ref="J26:K26"/>
    <mergeCell ref="J27:K27"/>
    <mergeCell ref="A29:O29"/>
    <mergeCell ref="D24:E24"/>
    <mergeCell ref="D23:E23"/>
    <mergeCell ref="D20:E20"/>
    <mergeCell ref="D21:E21"/>
    <mergeCell ref="D22:E22"/>
    <mergeCell ref="D18:E18"/>
    <mergeCell ref="D19:E19"/>
    <mergeCell ref="D13:E13"/>
    <mergeCell ref="D14:E14"/>
    <mergeCell ref="D15:E15"/>
    <mergeCell ref="D16:E16"/>
    <mergeCell ref="D17:E17"/>
    <mergeCell ref="D11:E11"/>
    <mergeCell ref="J10:L10"/>
    <mergeCell ref="M10:N10"/>
    <mergeCell ref="D12:E12"/>
    <mergeCell ref="K2:O3"/>
    <mergeCell ref="K4:O5"/>
    <mergeCell ref="K6:O7"/>
    <mergeCell ref="K8:O9"/>
    <mergeCell ref="D10:E10"/>
    <mergeCell ref="D8:E9"/>
    <mergeCell ref="H2:H3"/>
    <mergeCell ref="H4:H5"/>
    <mergeCell ref="H6:H7"/>
    <mergeCell ref="H8:H9"/>
    <mergeCell ref="A1:O1"/>
    <mergeCell ref="A2:C3"/>
    <mergeCell ref="A4:C5"/>
    <mergeCell ref="A6:C7"/>
    <mergeCell ref="A8:C9"/>
    <mergeCell ref="F2:G3"/>
    <mergeCell ref="F4:G5"/>
    <mergeCell ref="F6:G7"/>
    <mergeCell ref="F8:G9"/>
    <mergeCell ref="I2:J3"/>
    <mergeCell ref="I4:J5"/>
    <mergeCell ref="I6:J7"/>
    <mergeCell ref="I8:J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CFC7-FD42-4840-B11A-B4ED552152B9}">
  <dimension ref="A1:P46"/>
  <sheetViews>
    <sheetView topLeftCell="C23" zoomScale="150" zoomScaleNormal="150" workbookViewId="0">
      <selection activeCell="E40" sqref="E40"/>
    </sheetView>
  </sheetViews>
  <sheetFormatPr defaultColWidth="9.08984375" defaultRowHeight="10" x14ac:dyDescent="0.2"/>
  <cols>
    <col min="1" max="1" width="5.90625" style="69" customWidth="1"/>
    <col min="2" max="2" width="78.36328125" style="118" customWidth="1"/>
    <col min="3" max="3" width="4.08984375" style="69" customWidth="1"/>
    <col min="4" max="4" width="12.6328125" style="69" customWidth="1"/>
    <col min="5" max="5" width="12.453125" style="123" customWidth="1"/>
    <col min="6" max="6" width="13.453125" style="69" customWidth="1"/>
    <col min="7" max="7" width="11.6328125" style="123" customWidth="1"/>
    <col min="8" max="8" width="31.36328125" style="67" customWidth="1"/>
    <col min="9" max="9" width="17.54296875" style="68" customWidth="1"/>
    <col min="10" max="10" width="9.36328125" style="68" bestFit="1" customWidth="1"/>
    <col min="11" max="11" width="10.08984375" style="68" bestFit="1" customWidth="1"/>
    <col min="12" max="12" width="9.36328125" style="68" bestFit="1" customWidth="1"/>
    <col min="13" max="13" width="9.08984375" style="68"/>
    <col min="14" max="15" width="9.36328125" style="68" bestFit="1" customWidth="1"/>
    <col min="16" max="16" width="15.453125" style="68" customWidth="1"/>
    <col min="17" max="17" width="15.453125" style="69" customWidth="1"/>
    <col min="18" max="16384" width="9.08984375" style="69"/>
  </cols>
  <sheetData>
    <row r="1" spans="1:7" ht="10.5" thickBot="1" x14ac:dyDescent="0.25">
      <c r="A1" s="62" t="s">
        <v>163</v>
      </c>
      <c r="B1" s="62" t="s">
        <v>164</v>
      </c>
      <c r="C1" s="62" t="s">
        <v>123</v>
      </c>
      <c r="D1" s="63" t="s">
        <v>165</v>
      </c>
      <c r="E1" s="64" t="s">
        <v>166</v>
      </c>
      <c r="F1" s="65" t="s">
        <v>167</v>
      </c>
      <c r="G1" s="66" t="s">
        <v>168</v>
      </c>
    </row>
    <row r="2" spans="1:7" x14ac:dyDescent="0.2">
      <c r="A2" s="70"/>
      <c r="B2" s="74" t="s">
        <v>209</v>
      </c>
      <c r="C2" s="70"/>
      <c r="D2" s="71"/>
      <c r="E2" s="72"/>
      <c r="F2" s="73"/>
      <c r="G2" s="72"/>
    </row>
    <row r="3" spans="1:7" x14ac:dyDescent="0.2">
      <c r="A3" s="70"/>
      <c r="B3" s="75"/>
      <c r="C3" s="70"/>
      <c r="D3" s="71"/>
      <c r="E3" s="72"/>
      <c r="F3" s="73"/>
      <c r="G3" s="72"/>
    </row>
    <row r="4" spans="1:7" ht="10.5" x14ac:dyDescent="0.2">
      <c r="A4" s="82"/>
      <c r="B4" s="76" t="s">
        <v>169</v>
      </c>
      <c r="C4" s="82"/>
      <c r="D4" s="83"/>
      <c r="E4" s="81"/>
      <c r="F4" s="77"/>
      <c r="G4" s="70"/>
    </row>
    <row r="5" spans="1:7" ht="10.5" x14ac:dyDescent="0.2">
      <c r="A5" s="82"/>
      <c r="B5" s="94" t="s">
        <v>175</v>
      </c>
      <c r="C5" s="82"/>
      <c r="D5" s="83"/>
      <c r="E5" s="81"/>
      <c r="F5" s="77"/>
      <c r="G5" s="70"/>
    </row>
    <row r="6" spans="1:7" ht="20.5" x14ac:dyDescent="0.2">
      <c r="A6" s="95">
        <v>2</v>
      </c>
      <c r="B6" s="75" t="s">
        <v>176</v>
      </c>
      <c r="C6" s="95">
        <v>1</v>
      </c>
      <c r="D6" s="89" t="s">
        <v>177</v>
      </c>
      <c r="E6" s="130">
        <v>0</v>
      </c>
      <c r="F6" s="77">
        <f>E6*C6</f>
        <v>0</v>
      </c>
      <c r="G6" s="80"/>
    </row>
    <row r="7" spans="1:7" x14ac:dyDescent="0.2">
      <c r="A7" s="95"/>
      <c r="B7" s="89"/>
      <c r="C7" s="95"/>
      <c r="D7" s="89"/>
      <c r="E7" s="81"/>
      <c r="F7" s="77"/>
      <c r="G7" s="96"/>
    </row>
    <row r="8" spans="1:7" ht="10.5" x14ac:dyDescent="0.2">
      <c r="A8" s="82"/>
      <c r="B8" s="92" t="s">
        <v>178</v>
      </c>
      <c r="C8" s="82"/>
      <c r="D8" s="83"/>
      <c r="E8" s="81"/>
      <c r="F8" s="77"/>
      <c r="G8" s="70"/>
    </row>
    <row r="9" spans="1:7" ht="40" x14ac:dyDescent="0.2">
      <c r="A9" s="70">
        <v>2</v>
      </c>
      <c r="B9" s="97" t="s">
        <v>179</v>
      </c>
      <c r="C9" s="70">
        <v>1</v>
      </c>
      <c r="D9" s="83" t="s">
        <v>180</v>
      </c>
      <c r="E9" s="129">
        <v>0</v>
      </c>
      <c r="F9" s="77">
        <f t="shared" ref="F9:F11" si="0">E9*C9</f>
        <v>0</v>
      </c>
      <c r="G9" s="80"/>
    </row>
    <row r="10" spans="1:7" ht="10.5" x14ac:dyDescent="0.2">
      <c r="A10" s="70">
        <v>3</v>
      </c>
      <c r="B10" s="75" t="s">
        <v>181</v>
      </c>
      <c r="C10" s="70">
        <v>1</v>
      </c>
      <c r="D10" s="79" t="s">
        <v>182</v>
      </c>
      <c r="E10" s="129">
        <v>0</v>
      </c>
      <c r="F10" s="77">
        <f t="shared" si="0"/>
        <v>0</v>
      </c>
      <c r="G10" s="80"/>
    </row>
    <row r="11" spans="1:7" x14ac:dyDescent="0.2">
      <c r="A11" s="70">
        <v>4</v>
      </c>
      <c r="B11" s="100" t="s">
        <v>183</v>
      </c>
      <c r="C11" s="70">
        <v>5</v>
      </c>
      <c r="D11" s="79"/>
      <c r="E11" s="129">
        <v>0</v>
      </c>
      <c r="F11" s="77">
        <f t="shared" si="0"/>
        <v>0</v>
      </c>
      <c r="G11" s="70"/>
    </row>
    <row r="12" spans="1:7" x14ac:dyDescent="0.2">
      <c r="A12" s="82"/>
      <c r="B12" s="99"/>
      <c r="C12" s="70"/>
      <c r="D12" s="102"/>
      <c r="E12" s="72"/>
      <c r="F12" s="84"/>
      <c r="G12" s="101"/>
    </row>
    <row r="13" spans="1:7" x14ac:dyDescent="0.2">
      <c r="A13" s="82"/>
      <c r="B13" s="75"/>
      <c r="C13" s="70"/>
      <c r="D13" s="102"/>
      <c r="E13" s="81"/>
      <c r="F13" s="77"/>
      <c r="G13" s="80"/>
    </row>
    <row r="14" spans="1:7" ht="10.5" x14ac:dyDescent="0.2">
      <c r="A14" s="82"/>
      <c r="B14" s="92" t="s">
        <v>184</v>
      </c>
      <c r="C14" s="82"/>
      <c r="D14" s="83"/>
      <c r="E14" s="81"/>
      <c r="F14" s="77"/>
      <c r="G14" s="70"/>
    </row>
    <row r="15" spans="1:7" ht="20.5" x14ac:dyDescent="0.2">
      <c r="A15" s="70" t="s">
        <v>173</v>
      </c>
      <c r="B15" s="75" t="s">
        <v>185</v>
      </c>
      <c r="C15" s="70">
        <v>1</v>
      </c>
      <c r="D15" s="75" t="s">
        <v>186</v>
      </c>
      <c r="E15" s="129">
        <v>0</v>
      </c>
      <c r="F15" s="77">
        <f>E15*C15</f>
        <v>0</v>
      </c>
      <c r="G15" s="80"/>
    </row>
    <row r="16" spans="1:7" ht="20.5" x14ac:dyDescent="0.2">
      <c r="A16" s="70" t="s">
        <v>174</v>
      </c>
      <c r="B16" s="75" t="s">
        <v>187</v>
      </c>
      <c r="C16" s="70">
        <v>1</v>
      </c>
      <c r="D16" s="75" t="s">
        <v>188</v>
      </c>
      <c r="E16" s="129">
        <v>0</v>
      </c>
      <c r="F16" s="77">
        <f>E16*C16</f>
        <v>0</v>
      </c>
      <c r="G16" s="80"/>
    </row>
    <row r="17" spans="1:8" ht="30.5" x14ac:dyDescent="0.2">
      <c r="A17" s="70">
        <v>2</v>
      </c>
      <c r="B17" s="75" t="s">
        <v>189</v>
      </c>
      <c r="C17" s="70">
        <v>1</v>
      </c>
      <c r="D17" s="102"/>
      <c r="E17" s="128">
        <v>0</v>
      </c>
      <c r="F17" s="84">
        <f>E17*C17</f>
        <v>0</v>
      </c>
      <c r="G17" s="80"/>
    </row>
    <row r="18" spans="1:8" x14ac:dyDescent="0.2">
      <c r="A18" s="82" t="s">
        <v>171</v>
      </c>
      <c r="B18" s="75" t="s">
        <v>190</v>
      </c>
      <c r="C18" s="70">
        <v>1</v>
      </c>
      <c r="D18" s="102" t="s">
        <v>191</v>
      </c>
      <c r="E18" s="81"/>
      <c r="F18" s="77"/>
      <c r="G18" s="80" t="s">
        <v>170</v>
      </c>
    </row>
    <row r="19" spans="1:8" x14ac:dyDescent="0.2">
      <c r="A19" s="82" t="s">
        <v>172</v>
      </c>
      <c r="B19" s="75" t="s">
        <v>192</v>
      </c>
      <c r="C19" s="70">
        <v>2</v>
      </c>
      <c r="D19" s="102"/>
      <c r="E19" s="81"/>
      <c r="F19" s="77"/>
      <c r="G19" s="80" t="s">
        <v>170</v>
      </c>
    </row>
    <row r="20" spans="1:8" ht="20.5" x14ac:dyDescent="0.2">
      <c r="A20" s="82">
        <v>6</v>
      </c>
      <c r="B20" s="75" t="s">
        <v>193</v>
      </c>
      <c r="C20" s="70">
        <v>1</v>
      </c>
      <c r="D20" s="102" t="s">
        <v>194</v>
      </c>
      <c r="E20" s="128">
        <v>0</v>
      </c>
      <c r="F20" s="77">
        <f>E20*C20</f>
        <v>0</v>
      </c>
      <c r="G20" s="80"/>
    </row>
    <row r="21" spans="1:8" ht="20.5" x14ac:dyDescent="0.2">
      <c r="A21" s="82">
        <v>7</v>
      </c>
      <c r="B21" s="75" t="s">
        <v>195</v>
      </c>
      <c r="C21" s="70">
        <v>1</v>
      </c>
      <c r="D21" s="102" t="s">
        <v>194</v>
      </c>
      <c r="E21" s="128">
        <v>0</v>
      </c>
      <c r="F21" s="77">
        <f>E21*C21</f>
        <v>0</v>
      </c>
      <c r="G21" s="80"/>
    </row>
    <row r="22" spans="1:8" ht="20.5" x14ac:dyDescent="0.2">
      <c r="A22" s="82">
        <v>8</v>
      </c>
      <c r="B22" s="75" t="s">
        <v>196</v>
      </c>
      <c r="C22" s="70">
        <v>1</v>
      </c>
      <c r="D22" s="102" t="s">
        <v>197</v>
      </c>
      <c r="E22" s="129">
        <v>0</v>
      </c>
      <c r="F22" s="77">
        <f>E22*C22</f>
        <v>0</v>
      </c>
      <c r="G22" s="80"/>
    </row>
    <row r="23" spans="1:8" x14ac:dyDescent="0.2">
      <c r="A23" s="70"/>
      <c r="B23" s="75"/>
      <c r="C23" s="70"/>
      <c r="D23" s="102"/>
      <c r="E23" s="81"/>
      <c r="F23" s="77"/>
      <c r="G23" s="80"/>
    </row>
    <row r="24" spans="1:8" ht="10.5" x14ac:dyDescent="0.2">
      <c r="A24" s="70"/>
      <c r="B24" s="76" t="s">
        <v>198</v>
      </c>
      <c r="C24" s="70"/>
      <c r="D24" s="79"/>
      <c r="E24" s="81"/>
      <c r="F24" s="77"/>
      <c r="G24" s="80"/>
    </row>
    <row r="25" spans="1:8" ht="10.5" x14ac:dyDescent="0.2">
      <c r="A25" s="75"/>
      <c r="B25" s="91" t="s">
        <v>199</v>
      </c>
      <c r="C25" s="70"/>
      <c r="D25" s="70"/>
      <c r="E25" s="81"/>
      <c r="F25" s="77"/>
      <c r="G25" s="98"/>
    </row>
    <row r="26" spans="1:8" ht="20.5" x14ac:dyDescent="0.2">
      <c r="A26" s="82">
        <v>1</v>
      </c>
      <c r="B26" s="99" t="s">
        <v>200</v>
      </c>
      <c r="C26" s="70">
        <v>6</v>
      </c>
      <c r="D26" s="75" t="s">
        <v>201</v>
      </c>
      <c r="E26" s="128">
        <v>0</v>
      </c>
      <c r="F26" s="77">
        <f>E26*C26</f>
        <v>0</v>
      </c>
      <c r="G26" s="80"/>
      <c r="H26" s="85"/>
    </row>
    <row r="27" spans="1:8" ht="10.5" x14ac:dyDescent="0.25">
      <c r="A27" s="90">
        <v>2</v>
      </c>
      <c r="B27" s="99" t="s">
        <v>202</v>
      </c>
      <c r="C27" s="70">
        <v>6</v>
      </c>
      <c r="D27" s="75" t="s">
        <v>203</v>
      </c>
      <c r="E27" s="129">
        <v>0</v>
      </c>
      <c r="F27" s="84">
        <f>E27*C27</f>
        <v>0</v>
      </c>
      <c r="G27" s="96"/>
      <c r="H27" s="85"/>
    </row>
    <row r="28" spans="1:8" x14ac:dyDescent="0.2">
      <c r="A28" s="90"/>
      <c r="B28" s="99"/>
      <c r="C28" s="70"/>
      <c r="D28" s="75"/>
      <c r="E28" s="81"/>
      <c r="F28" s="84"/>
      <c r="G28" s="96"/>
    </row>
    <row r="29" spans="1:8" ht="10.5" x14ac:dyDescent="0.2">
      <c r="A29" s="70"/>
      <c r="B29" s="91" t="s">
        <v>204</v>
      </c>
      <c r="C29" s="70"/>
      <c r="D29" s="70"/>
      <c r="E29" s="81"/>
      <c r="F29" s="77"/>
      <c r="G29" s="98"/>
    </row>
    <row r="30" spans="1:8" ht="20.5" x14ac:dyDescent="0.2">
      <c r="A30" s="90">
        <v>1</v>
      </c>
      <c r="B30" s="99" t="s">
        <v>200</v>
      </c>
      <c r="C30" s="98">
        <v>2</v>
      </c>
      <c r="D30" s="102" t="s">
        <v>201</v>
      </c>
      <c r="E30" s="130">
        <v>0</v>
      </c>
      <c r="F30" s="77">
        <f>E30*C30</f>
        <v>0</v>
      </c>
      <c r="G30" s="80"/>
      <c r="H30" s="85"/>
    </row>
    <row r="31" spans="1:8" ht="10.5" x14ac:dyDescent="0.25">
      <c r="A31" s="90">
        <v>2</v>
      </c>
      <c r="B31" s="99" t="s">
        <v>202</v>
      </c>
      <c r="C31" s="70">
        <v>1</v>
      </c>
      <c r="D31" s="75" t="s">
        <v>203</v>
      </c>
      <c r="E31" s="130">
        <v>0</v>
      </c>
      <c r="F31" s="84">
        <f>E31*C31</f>
        <v>0</v>
      </c>
      <c r="G31" s="96"/>
    </row>
    <row r="32" spans="1:8" ht="10.5" x14ac:dyDescent="0.2">
      <c r="A32" s="82"/>
      <c r="B32" s="103"/>
      <c r="C32" s="82"/>
      <c r="D32" s="83"/>
      <c r="E32" s="81"/>
      <c r="F32" s="77"/>
      <c r="G32" s="80"/>
    </row>
    <row r="33" spans="1:11" ht="10.5" x14ac:dyDescent="0.2">
      <c r="A33" s="82"/>
      <c r="B33" s="103" t="s">
        <v>205</v>
      </c>
      <c r="C33" s="82"/>
      <c r="D33" s="83"/>
      <c r="E33" s="81"/>
      <c r="F33" s="77"/>
      <c r="G33" s="80"/>
    </row>
    <row r="34" spans="1:11" ht="20.5" x14ac:dyDescent="0.2">
      <c r="A34" s="95">
        <v>2</v>
      </c>
      <c r="B34" s="75" t="s">
        <v>176</v>
      </c>
      <c r="C34" s="95">
        <v>1</v>
      </c>
      <c r="D34" s="89" t="s">
        <v>206</v>
      </c>
      <c r="E34" s="129">
        <v>0</v>
      </c>
      <c r="F34" s="77">
        <f>E34*C34</f>
        <v>0</v>
      </c>
      <c r="G34" s="80"/>
    </row>
    <row r="35" spans="1:11" ht="11" thickBot="1" x14ac:dyDescent="0.25">
      <c r="A35" s="82"/>
      <c r="B35" s="103"/>
      <c r="C35" s="82"/>
      <c r="D35" s="83"/>
      <c r="E35" s="81"/>
      <c r="F35" s="77"/>
      <c r="G35" s="80"/>
    </row>
    <row r="36" spans="1:11" ht="10.5" x14ac:dyDescent="0.2">
      <c r="A36" s="104"/>
      <c r="B36" s="105" t="s">
        <v>210</v>
      </c>
      <c r="C36" s="106"/>
      <c r="D36" s="106"/>
      <c r="E36" s="107"/>
      <c r="F36" s="108">
        <f>SUM(F4:F35)</f>
        <v>0</v>
      </c>
      <c r="G36" s="109"/>
      <c r="H36" s="110"/>
    </row>
    <row r="37" spans="1:11" x14ac:dyDescent="0.2">
      <c r="A37" s="104"/>
      <c r="B37" s="111" t="s">
        <v>211</v>
      </c>
      <c r="C37" s="86">
        <v>1</v>
      </c>
      <c r="D37" s="78"/>
      <c r="E37" s="129">
        <v>0</v>
      </c>
      <c r="F37" s="112">
        <f>E37*C37</f>
        <v>0</v>
      </c>
      <c r="G37" s="109"/>
      <c r="H37" s="93"/>
      <c r="I37" s="113"/>
      <c r="J37" s="113"/>
      <c r="K37" s="88"/>
    </row>
    <row r="38" spans="1:11" ht="11" thickBot="1" x14ac:dyDescent="0.3">
      <c r="A38" s="104"/>
      <c r="B38" s="114" t="s">
        <v>212</v>
      </c>
      <c r="C38" s="115"/>
      <c r="D38" s="115"/>
      <c r="E38" s="116"/>
      <c r="F38" s="117">
        <f>SUM(F36:F37)</f>
        <v>0</v>
      </c>
      <c r="G38" s="109"/>
    </row>
    <row r="39" spans="1:11" ht="10.5" x14ac:dyDescent="0.2">
      <c r="B39" s="120"/>
      <c r="C39" s="121"/>
      <c r="D39" s="122"/>
      <c r="E39" s="87"/>
      <c r="F39" s="68"/>
      <c r="G39" s="119"/>
    </row>
    <row r="40" spans="1:11" x14ac:dyDescent="0.2">
      <c r="F40" s="68"/>
      <c r="G40" s="119"/>
    </row>
    <row r="41" spans="1:11" x14ac:dyDescent="0.2">
      <c r="G41" s="119"/>
    </row>
    <row r="42" spans="1:11" x14ac:dyDescent="0.2">
      <c r="F42" s="68"/>
      <c r="G42" s="119"/>
    </row>
    <row r="43" spans="1:11" x14ac:dyDescent="0.2">
      <c r="F43" s="68"/>
      <c r="G43" s="119"/>
    </row>
    <row r="44" spans="1:11" x14ac:dyDescent="0.2">
      <c r="G44" s="119"/>
    </row>
    <row r="45" spans="1:11" ht="10.5" x14ac:dyDescent="0.25">
      <c r="F45" s="124"/>
      <c r="G45" s="125"/>
      <c r="H45" s="126"/>
    </row>
    <row r="46" spans="1:11" ht="10.5" x14ac:dyDescent="0.25">
      <c r="F46" s="124"/>
      <c r="G46" s="125"/>
      <c r="H46" s="126"/>
    </row>
  </sheetData>
  <sheetProtection algorithmName="SHA-512" hashValue="QsjlOGnemN1uF35ccxBs4c8RdNNARFQnZ+Jc4OmHeNfcAFFe9GZyiR91ga7MaOc5WntpMJzQD1RP8D6Es1EmtA==" saltValue="nvWIejTXFPYZ9GbKC5pd9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Krycí list rozpočtu</vt:lpstr>
      <vt:lpstr>VORN</vt:lpstr>
      <vt:lpstr>Stavební rozpočet</vt:lpstr>
      <vt:lpstr>Dodávka kuchynského nábxtku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MILAN KROUPA</cp:lastModifiedBy>
  <dcterms:created xsi:type="dcterms:W3CDTF">2021-06-10T20:06:38Z</dcterms:created>
  <dcterms:modified xsi:type="dcterms:W3CDTF">2025-06-06T05:47:17Z</dcterms:modified>
</cp:coreProperties>
</file>