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an\Documents\MIKRO PRAHA\PROJEKCE\2025\PRAHA 12\ZŠ ZÁRUBOVA\DPS\Rozpočet\"/>
    </mc:Choice>
  </mc:AlternateContent>
  <xr:revisionPtr revIDLastSave="0" documentId="8_{0DEBA1AC-3D4D-43C8-ABC6-D19F1DBE5145}" xr6:coauthVersionLast="47" xr6:coauthVersionMax="47" xr10:uidLastSave="{00000000-0000-0000-0000-000000000000}"/>
  <bookViews>
    <workbookView xWindow="-110" yWindow="-110" windowWidth="38620" windowHeight="21100" activeTab="2" xr2:uid="{00000000-000D-0000-FFFF-FFFF00000000}"/>
  </bookViews>
  <sheets>
    <sheet name="Krycí list rozpočtu" sheetId="1" r:id="rId1"/>
    <sheet name="VORN" sheetId="2" r:id="rId2"/>
    <sheet name="Stavební rozpočet" sheetId="3" r:id="rId3"/>
    <sheet name="Výkaz výměr" sheetId="4" r:id="rId4"/>
  </sheets>
  <definedNames>
    <definedName name="_xlnm.Print_Titles" localSheetId="2">'Stavební rozpočet'!$10:$12</definedName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4" i="3" l="1"/>
  <c r="Z294" i="3"/>
  <c r="AB294" i="3"/>
  <c r="AC294" i="3"/>
  <c r="AF294" i="3"/>
  <c r="AG294" i="3"/>
  <c r="AH294" i="3"/>
  <c r="AJ294" i="3"/>
  <c r="AS293" i="3" s="1"/>
  <c r="AK294" i="3"/>
  <c r="AT293" i="3" s="1"/>
  <c r="AL294" i="3"/>
  <c r="AO294" i="3"/>
  <c r="AP294" i="3"/>
  <c r="AX294" i="3" s="1"/>
  <c r="AW294" i="3"/>
  <c r="BD294" i="3"/>
  <c r="BF294" i="3"/>
  <c r="BH294" i="3"/>
  <c r="AD294" i="3" s="1"/>
  <c r="BI294" i="3"/>
  <c r="AE294" i="3" s="1"/>
  <c r="BJ294" i="3"/>
  <c r="H295" i="3"/>
  <c r="AL295" i="3" s="1"/>
  <c r="Z295" i="3"/>
  <c r="AB295" i="3"/>
  <c r="AC295" i="3"/>
  <c r="AF295" i="3"/>
  <c r="AG295" i="3"/>
  <c r="AH295" i="3"/>
  <c r="AJ295" i="3"/>
  <c r="AK295" i="3"/>
  <c r="AO295" i="3"/>
  <c r="AW295" i="3" s="1"/>
  <c r="AP295" i="3"/>
  <c r="AX295" i="3"/>
  <c r="BD295" i="3"/>
  <c r="BF295" i="3"/>
  <c r="BI295" i="3"/>
  <c r="AE295" i="3" s="1"/>
  <c r="BJ295" i="3"/>
  <c r="F8" i="4"/>
  <c r="C8" i="4"/>
  <c r="F6" i="4"/>
  <c r="C6" i="4"/>
  <c r="F4" i="4"/>
  <c r="C4" i="4"/>
  <c r="F2" i="4"/>
  <c r="C2" i="4"/>
  <c r="BJ459" i="3"/>
  <c r="BF459" i="3"/>
  <c r="BD459" i="3"/>
  <c r="AP459" i="3"/>
  <c r="BI459" i="3" s="1"/>
  <c r="AO459" i="3"/>
  <c r="AW459" i="3" s="1"/>
  <c r="AK459" i="3"/>
  <c r="AJ459" i="3"/>
  <c r="AH459" i="3"/>
  <c r="AG459" i="3"/>
  <c r="AF459" i="3"/>
  <c r="AE459" i="3"/>
  <c r="AD459" i="3"/>
  <c r="AC459" i="3"/>
  <c r="AB459" i="3"/>
  <c r="Z459" i="3"/>
  <c r="H459" i="3"/>
  <c r="AL459" i="3" s="1"/>
  <c r="BJ458" i="3"/>
  <c r="Z458" i="3" s="1"/>
  <c r="BF458" i="3"/>
  <c r="BD458" i="3"/>
  <c r="AP458" i="3"/>
  <c r="AX458" i="3" s="1"/>
  <c r="AO458" i="3"/>
  <c r="AK458" i="3"/>
  <c r="AJ458" i="3"/>
  <c r="AH458" i="3"/>
  <c r="AG458" i="3"/>
  <c r="AF458" i="3"/>
  <c r="AE458" i="3"/>
  <c r="AD458" i="3"/>
  <c r="AC458" i="3"/>
  <c r="AB458" i="3"/>
  <c r="H458" i="3"/>
  <c r="AL458" i="3" s="1"/>
  <c r="BJ457" i="3"/>
  <c r="Z457" i="3" s="1"/>
  <c r="BF457" i="3"/>
  <c r="BD457" i="3"/>
  <c r="AP457" i="3"/>
  <c r="AO457" i="3"/>
  <c r="BH457" i="3" s="1"/>
  <c r="AK457" i="3"/>
  <c r="AJ457" i="3"/>
  <c r="AH457" i="3"/>
  <c r="AG457" i="3"/>
  <c r="AF457" i="3"/>
  <c r="AE457" i="3"/>
  <c r="AD457" i="3"/>
  <c r="AC457" i="3"/>
  <c r="AB457" i="3"/>
  <c r="H457" i="3"/>
  <c r="AL457" i="3" s="1"/>
  <c r="BJ456" i="3"/>
  <c r="Z456" i="3" s="1"/>
  <c r="BF456" i="3"/>
  <c r="BD456" i="3"/>
  <c r="AP456" i="3"/>
  <c r="AO456" i="3"/>
  <c r="AK456" i="3"/>
  <c r="AJ456" i="3"/>
  <c r="AH456" i="3"/>
  <c r="AG456" i="3"/>
  <c r="AF456" i="3"/>
  <c r="AE456" i="3"/>
  <c r="AD456" i="3"/>
  <c r="AC456" i="3"/>
  <c r="AB456" i="3"/>
  <c r="H456" i="3"/>
  <c r="AL456" i="3" s="1"/>
  <c r="BJ455" i="3"/>
  <c r="Z455" i="3" s="1"/>
  <c r="BF455" i="3"/>
  <c r="BD455" i="3"/>
  <c r="AP455" i="3"/>
  <c r="AO455" i="3"/>
  <c r="AK455" i="3"/>
  <c r="AJ455" i="3"/>
  <c r="AH455" i="3"/>
  <c r="AG455" i="3"/>
  <c r="AF455" i="3"/>
  <c r="AE455" i="3"/>
  <c r="AD455" i="3"/>
  <c r="AC455" i="3"/>
  <c r="AB455" i="3"/>
  <c r="H455" i="3"/>
  <c r="AL455" i="3" s="1"/>
  <c r="BJ454" i="3"/>
  <c r="Z454" i="3" s="1"/>
  <c r="BF454" i="3"/>
  <c r="BD454" i="3"/>
  <c r="AP454" i="3"/>
  <c r="AX454" i="3" s="1"/>
  <c r="AO454" i="3"/>
  <c r="AK454" i="3"/>
  <c r="AJ454" i="3"/>
  <c r="AH454" i="3"/>
  <c r="AG454" i="3"/>
  <c r="AF454" i="3"/>
  <c r="AE454" i="3"/>
  <c r="AD454" i="3"/>
  <c r="AC454" i="3"/>
  <c r="AB454" i="3"/>
  <c r="H454" i="3"/>
  <c r="AL454" i="3" s="1"/>
  <c r="BJ453" i="3"/>
  <c r="Z453" i="3" s="1"/>
  <c r="BF453" i="3"/>
  <c r="BD453" i="3"/>
  <c r="AX453" i="3"/>
  <c r="AP453" i="3"/>
  <c r="BI453" i="3" s="1"/>
  <c r="AO453" i="3"/>
  <c r="BH453" i="3" s="1"/>
  <c r="AK453" i="3"/>
  <c r="AJ453" i="3"/>
  <c r="AH453" i="3"/>
  <c r="AG453" i="3"/>
  <c r="AF453" i="3"/>
  <c r="AE453" i="3"/>
  <c r="AD453" i="3"/>
  <c r="AC453" i="3"/>
  <c r="AB453" i="3"/>
  <c r="H453" i="3"/>
  <c r="AL453" i="3" s="1"/>
  <c r="BJ452" i="3"/>
  <c r="Z452" i="3" s="1"/>
  <c r="BF452" i="3"/>
  <c r="BD452" i="3"/>
  <c r="AP452" i="3"/>
  <c r="AO452" i="3"/>
  <c r="AK452" i="3"/>
  <c r="AJ452" i="3"/>
  <c r="AH452" i="3"/>
  <c r="AG452" i="3"/>
  <c r="AF452" i="3"/>
  <c r="AE452" i="3"/>
  <c r="AD452" i="3"/>
  <c r="AC452" i="3"/>
  <c r="AB452" i="3"/>
  <c r="H452" i="3"/>
  <c r="AL452" i="3" s="1"/>
  <c r="BJ451" i="3"/>
  <c r="Z451" i="3" s="1"/>
  <c r="BF451" i="3"/>
  <c r="BD451" i="3"/>
  <c r="AP451" i="3"/>
  <c r="BI451" i="3" s="1"/>
  <c r="AO451" i="3"/>
  <c r="AK451" i="3"/>
  <c r="AJ451" i="3"/>
  <c r="AH451" i="3"/>
  <c r="AG451" i="3"/>
  <c r="AF451" i="3"/>
  <c r="AE451" i="3"/>
  <c r="AD451" i="3"/>
  <c r="AC451" i="3"/>
  <c r="AB451" i="3"/>
  <c r="H451" i="3"/>
  <c r="AL451" i="3" s="1"/>
  <c r="BJ450" i="3"/>
  <c r="Z450" i="3" s="1"/>
  <c r="BF450" i="3"/>
  <c r="BD450" i="3"/>
  <c r="AP450" i="3"/>
  <c r="AO450" i="3"/>
  <c r="AK450" i="3"/>
  <c r="AJ450" i="3"/>
  <c r="AH450" i="3"/>
  <c r="AG450" i="3"/>
  <c r="AF450" i="3"/>
  <c r="AE450" i="3"/>
  <c r="AD450" i="3"/>
  <c r="AC450" i="3"/>
  <c r="AB450" i="3"/>
  <c r="H450" i="3"/>
  <c r="AL450" i="3" s="1"/>
  <c r="BJ449" i="3"/>
  <c r="Z449" i="3" s="1"/>
  <c r="BF449" i="3"/>
  <c r="BD449" i="3"/>
  <c r="AP449" i="3"/>
  <c r="AO449" i="3"/>
  <c r="BH449" i="3" s="1"/>
  <c r="AK449" i="3"/>
  <c r="AJ449" i="3"/>
  <c r="AH449" i="3"/>
  <c r="AG449" i="3"/>
  <c r="AF449" i="3"/>
  <c r="AE449" i="3"/>
  <c r="AD449" i="3"/>
  <c r="AC449" i="3"/>
  <c r="AB449" i="3"/>
  <c r="H449" i="3"/>
  <c r="AL449" i="3" s="1"/>
  <c r="BJ448" i="3"/>
  <c r="Z448" i="3" s="1"/>
  <c r="BF448" i="3"/>
  <c r="BD448" i="3"/>
  <c r="AP448" i="3"/>
  <c r="AO448" i="3"/>
  <c r="BH448" i="3" s="1"/>
  <c r="AK448" i="3"/>
  <c r="AJ448" i="3"/>
  <c r="AH448" i="3"/>
  <c r="AG448" i="3"/>
  <c r="AF448" i="3"/>
  <c r="AE448" i="3"/>
  <c r="AD448" i="3"/>
  <c r="AC448" i="3"/>
  <c r="AB448" i="3"/>
  <c r="H448" i="3"/>
  <c r="AL448" i="3" s="1"/>
  <c r="BJ447" i="3"/>
  <c r="BF447" i="3"/>
  <c r="BD447" i="3"/>
  <c r="AP447" i="3"/>
  <c r="AX447" i="3" s="1"/>
  <c r="AO447" i="3"/>
  <c r="AK447" i="3"/>
  <c r="AJ447" i="3"/>
  <c r="AH447" i="3"/>
  <c r="AG447" i="3"/>
  <c r="AF447" i="3"/>
  <c r="AE447" i="3"/>
  <c r="AD447" i="3"/>
  <c r="AC447" i="3"/>
  <c r="AB447" i="3"/>
  <c r="Z447" i="3"/>
  <c r="H447" i="3"/>
  <c r="AL447" i="3" s="1"/>
  <c r="BJ445" i="3"/>
  <c r="BF445" i="3"/>
  <c r="BD445" i="3"/>
  <c r="AP445" i="3"/>
  <c r="BI445" i="3" s="1"/>
  <c r="AG445" i="3" s="1"/>
  <c r="AO445" i="3"/>
  <c r="AK445" i="3"/>
  <c r="AJ445" i="3"/>
  <c r="AH445" i="3"/>
  <c r="AE445" i="3"/>
  <c r="AD445" i="3"/>
  <c r="AC445" i="3"/>
  <c r="AB445" i="3"/>
  <c r="Z445" i="3"/>
  <c r="H445" i="3"/>
  <c r="AL445" i="3" s="1"/>
  <c r="BJ444" i="3"/>
  <c r="BF444" i="3"/>
  <c r="BD444" i="3"/>
  <c r="AP444" i="3"/>
  <c r="AO444" i="3"/>
  <c r="AK444" i="3"/>
  <c r="AJ444" i="3"/>
  <c r="AH444" i="3"/>
  <c r="AE444" i="3"/>
  <c r="AD444" i="3"/>
  <c r="AC444" i="3"/>
  <c r="AB444" i="3"/>
  <c r="Z444" i="3"/>
  <c r="H444" i="3"/>
  <c r="AL444" i="3" s="1"/>
  <c r="BJ443" i="3"/>
  <c r="BF443" i="3"/>
  <c r="BD443" i="3"/>
  <c r="AW443" i="3"/>
  <c r="AP443" i="3"/>
  <c r="AO443" i="3"/>
  <c r="BH443" i="3" s="1"/>
  <c r="AF443" i="3" s="1"/>
  <c r="AK443" i="3"/>
  <c r="AJ443" i="3"/>
  <c r="AH443" i="3"/>
  <c r="AE443" i="3"/>
  <c r="AD443" i="3"/>
  <c r="AC443" i="3"/>
  <c r="AB443" i="3"/>
  <c r="Z443" i="3"/>
  <c r="H443" i="3"/>
  <c r="AL443" i="3" s="1"/>
  <c r="BJ442" i="3"/>
  <c r="BF442" i="3"/>
  <c r="BD442" i="3"/>
  <c r="AP442" i="3"/>
  <c r="BI442" i="3" s="1"/>
  <c r="AG442" i="3" s="1"/>
  <c r="AO442" i="3"/>
  <c r="AW442" i="3" s="1"/>
  <c r="AK442" i="3"/>
  <c r="AJ442" i="3"/>
  <c r="AH442" i="3"/>
  <c r="AE442" i="3"/>
  <c r="AD442" i="3"/>
  <c r="AC442" i="3"/>
  <c r="AB442" i="3"/>
  <c r="Z442" i="3"/>
  <c r="H442" i="3"/>
  <c r="AL442" i="3" s="1"/>
  <c r="BJ441" i="3"/>
  <c r="BH441" i="3"/>
  <c r="AF441" i="3" s="1"/>
  <c r="BF441" i="3"/>
  <c r="BD441" i="3"/>
  <c r="AP441" i="3"/>
  <c r="AO441" i="3"/>
  <c r="AW441" i="3" s="1"/>
  <c r="AK441" i="3"/>
  <c r="AJ441" i="3"/>
  <c r="AH441" i="3"/>
  <c r="AE441" i="3"/>
  <c r="AD441" i="3"/>
  <c r="AC441" i="3"/>
  <c r="AB441" i="3"/>
  <c r="Z441" i="3"/>
  <c r="H441" i="3"/>
  <c r="AL441" i="3" s="1"/>
  <c r="BJ440" i="3"/>
  <c r="BF440" i="3"/>
  <c r="BD440" i="3"/>
  <c r="AP440" i="3"/>
  <c r="BI440" i="3" s="1"/>
  <c r="AG440" i="3" s="1"/>
  <c r="AO440" i="3"/>
  <c r="AK440" i="3"/>
  <c r="AJ440" i="3"/>
  <c r="AH440" i="3"/>
  <c r="AE440" i="3"/>
  <c r="AD440" i="3"/>
  <c r="AC440" i="3"/>
  <c r="AB440" i="3"/>
  <c r="Z440" i="3"/>
  <c r="H440" i="3"/>
  <c r="AL440" i="3" s="1"/>
  <c r="BJ439" i="3"/>
  <c r="BF439" i="3"/>
  <c r="BD439" i="3"/>
  <c r="AP439" i="3"/>
  <c r="AX439" i="3" s="1"/>
  <c r="AO439" i="3"/>
  <c r="BH439" i="3" s="1"/>
  <c r="AF439" i="3" s="1"/>
  <c r="AK439" i="3"/>
  <c r="AJ439" i="3"/>
  <c r="AH439" i="3"/>
  <c r="AE439" i="3"/>
  <c r="AD439" i="3"/>
  <c r="AC439" i="3"/>
  <c r="AB439" i="3"/>
  <c r="Z439" i="3"/>
  <c r="H439" i="3"/>
  <c r="AL439" i="3" s="1"/>
  <c r="BJ438" i="3"/>
  <c r="BF438" i="3"/>
  <c r="BD438" i="3"/>
  <c r="AP438" i="3"/>
  <c r="AO438" i="3"/>
  <c r="AW438" i="3" s="1"/>
  <c r="AK438" i="3"/>
  <c r="AJ438" i="3"/>
  <c r="AH438" i="3"/>
  <c r="AE438" i="3"/>
  <c r="AD438" i="3"/>
  <c r="AC438" i="3"/>
  <c r="AB438" i="3"/>
  <c r="Z438" i="3"/>
  <c r="H438" i="3"/>
  <c r="AL438" i="3" s="1"/>
  <c r="BJ437" i="3"/>
  <c r="BF437" i="3"/>
  <c r="BD437" i="3"/>
  <c r="AP437" i="3"/>
  <c r="AO437" i="3"/>
  <c r="AK437" i="3"/>
  <c r="AJ437" i="3"/>
  <c r="AH437" i="3"/>
  <c r="AE437" i="3"/>
  <c r="AD437" i="3"/>
  <c r="AC437" i="3"/>
  <c r="AB437" i="3"/>
  <c r="Z437" i="3"/>
  <c r="H437" i="3"/>
  <c r="AL437" i="3" s="1"/>
  <c r="BJ436" i="3"/>
  <c r="BF436" i="3"/>
  <c r="BD436" i="3"/>
  <c r="AP436" i="3"/>
  <c r="BI436" i="3" s="1"/>
  <c r="AG436" i="3" s="1"/>
  <c r="AO436" i="3"/>
  <c r="AK436" i="3"/>
  <c r="AJ436" i="3"/>
  <c r="AH436" i="3"/>
  <c r="AE436" i="3"/>
  <c r="AD436" i="3"/>
  <c r="AC436" i="3"/>
  <c r="AB436" i="3"/>
  <c r="Z436" i="3"/>
  <c r="H436" i="3"/>
  <c r="AL436" i="3" s="1"/>
  <c r="BJ435" i="3"/>
  <c r="BF435" i="3"/>
  <c r="BD435" i="3"/>
  <c r="AP435" i="3"/>
  <c r="AX435" i="3" s="1"/>
  <c r="AO435" i="3"/>
  <c r="BH435" i="3" s="1"/>
  <c r="AF435" i="3" s="1"/>
  <c r="AL435" i="3"/>
  <c r="AK435" i="3"/>
  <c r="AJ435" i="3"/>
  <c r="AH435" i="3"/>
  <c r="AE435" i="3"/>
  <c r="AD435" i="3"/>
  <c r="AC435" i="3"/>
  <c r="AB435" i="3"/>
  <c r="Z435" i="3"/>
  <c r="H435" i="3"/>
  <c r="BJ434" i="3"/>
  <c r="BF434" i="3"/>
  <c r="BD434" i="3"/>
  <c r="AP434" i="3"/>
  <c r="AO434" i="3"/>
  <c r="AK434" i="3"/>
  <c r="AJ434" i="3"/>
  <c r="AH434" i="3"/>
  <c r="AE434" i="3"/>
  <c r="AD434" i="3"/>
  <c r="AC434" i="3"/>
  <c r="AB434" i="3"/>
  <c r="Z434" i="3"/>
  <c r="H434" i="3"/>
  <c r="BJ432" i="3"/>
  <c r="BF432" i="3"/>
  <c r="BD432" i="3"/>
  <c r="AX432" i="3"/>
  <c r="AP432" i="3"/>
  <c r="BI432" i="3" s="1"/>
  <c r="AG432" i="3" s="1"/>
  <c r="AO432" i="3"/>
  <c r="AW432" i="3" s="1"/>
  <c r="AK432" i="3"/>
  <c r="AJ432" i="3"/>
  <c r="AH432" i="3"/>
  <c r="AE432" i="3"/>
  <c r="AD432" i="3"/>
  <c r="AC432" i="3"/>
  <c r="AB432" i="3"/>
  <c r="Z432" i="3"/>
  <c r="H432" i="3"/>
  <c r="AL432" i="3" s="1"/>
  <c r="BJ431" i="3"/>
  <c r="BF431" i="3"/>
  <c r="BD431" i="3"/>
  <c r="AP431" i="3"/>
  <c r="AO431" i="3"/>
  <c r="AK431" i="3"/>
  <c r="AJ431" i="3"/>
  <c r="AH431" i="3"/>
  <c r="AE431" i="3"/>
  <c r="AD431" i="3"/>
  <c r="AC431" i="3"/>
  <c r="AB431" i="3"/>
  <c r="Z431" i="3"/>
  <c r="H431" i="3"/>
  <c r="AL431" i="3" s="1"/>
  <c r="BJ430" i="3"/>
  <c r="BF430" i="3"/>
  <c r="BD430" i="3"/>
  <c r="AP430" i="3"/>
  <c r="AO430" i="3"/>
  <c r="AK430" i="3"/>
  <c r="AJ430" i="3"/>
  <c r="AH430" i="3"/>
  <c r="AE430" i="3"/>
  <c r="AD430" i="3"/>
  <c r="AC430" i="3"/>
  <c r="AB430" i="3"/>
  <c r="Z430" i="3"/>
  <c r="H430" i="3"/>
  <c r="AL430" i="3" s="1"/>
  <c r="BJ429" i="3"/>
  <c r="BF429" i="3"/>
  <c r="BD429" i="3"/>
  <c r="AP429" i="3"/>
  <c r="AX429" i="3" s="1"/>
  <c r="AO429" i="3"/>
  <c r="AK429" i="3"/>
  <c r="AJ429" i="3"/>
  <c r="AH429" i="3"/>
  <c r="AE429" i="3"/>
  <c r="AD429" i="3"/>
  <c r="AC429" i="3"/>
  <c r="AB429" i="3"/>
  <c r="Z429" i="3"/>
  <c r="H429" i="3"/>
  <c r="AL429" i="3" s="1"/>
  <c r="BJ428" i="3"/>
  <c r="BI428" i="3"/>
  <c r="AG428" i="3" s="1"/>
  <c r="BF428" i="3"/>
  <c r="BD428" i="3"/>
  <c r="AP428" i="3"/>
  <c r="AX428" i="3" s="1"/>
  <c r="AO428" i="3"/>
  <c r="AL428" i="3"/>
  <c r="AK428" i="3"/>
  <c r="AJ428" i="3"/>
  <c r="AH428" i="3"/>
  <c r="AE428" i="3"/>
  <c r="AD428" i="3"/>
  <c r="AC428" i="3"/>
  <c r="AB428" i="3"/>
  <c r="Z428" i="3"/>
  <c r="H428" i="3"/>
  <c r="BJ427" i="3"/>
  <c r="BF427" i="3"/>
  <c r="BD427" i="3"/>
  <c r="AP427" i="3"/>
  <c r="BI427" i="3" s="1"/>
  <c r="AO427" i="3"/>
  <c r="BH427" i="3" s="1"/>
  <c r="AF427" i="3" s="1"/>
  <c r="AL427" i="3"/>
  <c r="AK427" i="3"/>
  <c r="AJ427" i="3"/>
  <c r="AH427" i="3"/>
  <c r="AG427" i="3"/>
  <c r="AE427" i="3"/>
  <c r="AD427" i="3"/>
  <c r="AC427" i="3"/>
  <c r="AB427" i="3"/>
  <c r="Z427" i="3"/>
  <c r="H427" i="3"/>
  <c r="BJ426" i="3"/>
  <c r="BF426" i="3"/>
  <c r="BD426" i="3"/>
  <c r="AP426" i="3"/>
  <c r="AO426" i="3"/>
  <c r="AK426" i="3"/>
  <c r="AJ426" i="3"/>
  <c r="AH426" i="3"/>
  <c r="AE426" i="3"/>
  <c r="AD426" i="3"/>
  <c r="AC426" i="3"/>
  <c r="AB426" i="3"/>
  <c r="Z426" i="3"/>
  <c r="H426" i="3"/>
  <c r="AL426" i="3" s="1"/>
  <c r="BJ425" i="3"/>
  <c r="BF425" i="3"/>
  <c r="BD425" i="3"/>
  <c r="AP425" i="3"/>
  <c r="AO425" i="3"/>
  <c r="AW425" i="3" s="1"/>
  <c r="AK425" i="3"/>
  <c r="AJ425" i="3"/>
  <c r="AH425" i="3"/>
  <c r="AE425" i="3"/>
  <c r="AD425" i="3"/>
  <c r="AC425" i="3"/>
  <c r="AB425" i="3"/>
  <c r="Z425" i="3"/>
  <c r="H425" i="3"/>
  <c r="AL425" i="3" s="1"/>
  <c r="BJ424" i="3"/>
  <c r="BF424" i="3"/>
  <c r="BD424" i="3"/>
  <c r="AP424" i="3"/>
  <c r="AO424" i="3"/>
  <c r="AW424" i="3" s="1"/>
  <c r="AK424" i="3"/>
  <c r="AJ424" i="3"/>
  <c r="AH424" i="3"/>
  <c r="AE424" i="3"/>
  <c r="AD424" i="3"/>
  <c r="AC424" i="3"/>
  <c r="AB424" i="3"/>
  <c r="Z424" i="3"/>
  <c r="H424" i="3"/>
  <c r="AL424" i="3" s="1"/>
  <c r="BJ423" i="3"/>
  <c r="BH423" i="3"/>
  <c r="AF423" i="3" s="1"/>
  <c r="BF423" i="3"/>
  <c r="BD423" i="3"/>
  <c r="AW423" i="3"/>
  <c r="AP423" i="3"/>
  <c r="BI423" i="3" s="1"/>
  <c r="AG423" i="3" s="1"/>
  <c r="AO423" i="3"/>
  <c r="AK423" i="3"/>
  <c r="AJ423" i="3"/>
  <c r="AH423" i="3"/>
  <c r="AE423" i="3"/>
  <c r="AD423" i="3"/>
  <c r="AC423" i="3"/>
  <c r="AB423" i="3"/>
  <c r="Z423" i="3"/>
  <c r="H423" i="3"/>
  <c r="AL423" i="3" s="1"/>
  <c r="BJ422" i="3"/>
  <c r="BF422" i="3"/>
  <c r="BD422" i="3"/>
  <c r="AP422" i="3"/>
  <c r="AX422" i="3" s="1"/>
  <c r="AO422" i="3"/>
  <c r="BH422" i="3" s="1"/>
  <c r="AF422" i="3" s="1"/>
  <c r="AK422" i="3"/>
  <c r="AJ422" i="3"/>
  <c r="AH422" i="3"/>
  <c r="AE422" i="3"/>
  <c r="AD422" i="3"/>
  <c r="AC422" i="3"/>
  <c r="AB422" i="3"/>
  <c r="Z422" i="3"/>
  <c r="H422" i="3"/>
  <c r="AL422" i="3" s="1"/>
  <c r="BJ420" i="3"/>
  <c r="BF420" i="3"/>
  <c r="BD420" i="3"/>
  <c r="AP420" i="3"/>
  <c r="AX420" i="3" s="1"/>
  <c r="AO420" i="3"/>
  <c r="AK420" i="3"/>
  <c r="AJ420" i="3"/>
  <c r="AH420" i="3"/>
  <c r="AG420" i="3"/>
  <c r="AF420" i="3"/>
  <c r="AE420" i="3"/>
  <c r="AD420" i="3"/>
  <c r="Z420" i="3"/>
  <c r="H420" i="3"/>
  <c r="AL420" i="3" s="1"/>
  <c r="BJ419" i="3"/>
  <c r="BF419" i="3"/>
  <c r="BD419" i="3"/>
  <c r="AP419" i="3"/>
  <c r="AO419" i="3"/>
  <c r="AW419" i="3" s="1"/>
  <c r="AK419" i="3"/>
  <c r="AJ419" i="3"/>
  <c r="AH419" i="3"/>
  <c r="AG419" i="3"/>
  <c r="AF419" i="3"/>
  <c r="AE419" i="3"/>
  <c r="AD419" i="3"/>
  <c r="Z419" i="3"/>
  <c r="H419" i="3"/>
  <c r="AL419" i="3" s="1"/>
  <c r="BJ418" i="3"/>
  <c r="BF418" i="3"/>
  <c r="BD418" i="3"/>
  <c r="AP418" i="3"/>
  <c r="BI418" i="3" s="1"/>
  <c r="AO418" i="3"/>
  <c r="AK418" i="3"/>
  <c r="AJ418" i="3"/>
  <c r="AH418" i="3"/>
  <c r="AG418" i="3"/>
  <c r="AF418" i="3"/>
  <c r="AE418" i="3"/>
  <c r="AD418" i="3"/>
  <c r="AC418" i="3"/>
  <c r="Z418" i="3"/>
  <c r="H418" i="3"/>
  <c r="AL418" i="3" s="1"/>
  <c r="BJ417" i="3"/>
  <c r="BF417" i="3"/>
  <c r="BD417" i="3"/>
  <c r="AP417" i="3"/>
  <c r="AX417" i="3" s="1"/>
  <c r="AO417" i="3"/>
  <c r="AK417" i="3"/>
  <c r="AJ417" i="3"/>
  <c r="AH417" i="3"/>
  <c r="AG417" i="3"/>
  <c r="AF417" i="3"/>
  <c r="AE417" i="3"/>
  <c r="AD417" i="3"/>
  <c r="Z417" i="3"/>
  <c r="H417" i="3"/>
  <c r="AL417" i="3" s="1"/>
  <c r="BJ416" i="3"/>
  <c r="BF416" i="3"/>
  <c r="BD416" i="3"/>
  <c r="AP416" i="3"/>
  <c r="AO416" i="3"/>
  <c r="AW416" i="3" s="1"/>
  <c r="AK416" i="3"/>
  <c r="AJ416" i="3"/>
  <c r="AH416" i="3"/>
  <c r="AG416" i="3"/>
  <c r="AF416" i="3"/>
  <c r="AE416" i="3"/>
  <c r="AD416" i="3"/>
  <c r="Z416" i="3"/>
  <c r="H416" i="3"/>
  <c r="AL416" i="3" s="1"/>
  <c r="BJ415" i="3"/>
  <c r="BF415" i="3"/>
  <c r="BD415" i="3"/>
  <c r="AP415" i="3"/>
  <c r="AO415" i="3"/>
  <c r="BH415" i="3" s="1"/>
  <c r="AB415" i="3" s="1"/>
  <c r="AK415" i="3"/>
  <c r="AJ415" i="3"/>
  <c r="AH415" i="3"/>
  <c r="AG415" i="3"/>
  <c r="AF415" i="3"/>
  <c r="AE415" i="3"/>
  <c r="AD415" i="3"/>
  <c r="Z415" i="3"/>
  <c r="H415" i="3"/>
  <c r="AL415" i="3" s="1"/>
  <c r="BJ414" i="3"/>
  <c r="BF414" i="3"/>
  <c r="BD414" i="3"/>
  <c r="AP414" i="3"/>
  <c r="BI414" i="3" s="1"/>
  <c r="AG414" i="3" s="1"/>
  <c r="AO414" i="3"/>
  <c r="AK414" i="3"/>
  <c r="AJ414" i="3"/>
  <c r="AH414" i="3"/>
  <c r="AE414" i="3"/>
  <c r="AD414" i="3"/>
  <c r="AC414" i="3"/>
  <c r="AB414" i="3"/>
  <c r="Z414" i="3"/>
  <c r="H414" i="3"/>
  <c r="AL414" i="3" s="1"/>
  <c r="BJ413" i="3"/>
  <c r="BF413" i="3"/>
  <c r="BD413" i="3"/>
  <c r="AP413" i="3"/>
  <c r="AX413" i="3" s="1"/>
  <c r="AO413" i="3"/>
  <c r="BH413" i="3" s="1"/>
  <c r="AF413" i="3" s="1"/>
  <c r="AK413" i="3"/>
  <c r="AJ413" i="3"/>
  <c r="AH413" i="3"/>
  <c r="AE413" i="3"/>
  <c r="AD413" i="3"/>
  <c r="AC413" i="3"/>
  <c r="AB413" i="3"/>
  <c r="Z413" i="3"/>
  <c r="H413" i="3"/>
  <c r="AL413" i="3" s="1"/>
  <c r="BJ412" i="3"/>
  <c r="BF412" i="3"/>
  <c r="BD412" i="3"/>
  <c r="AP412" i="3"/>
  <c r="AX412" i="3" s="1"/>
  <c r="AO412" i="3"/>
  <c r="AK412" i="3"/>
  <c r="AJ412" i="3"/>
  <c r="AH412" i="3"/>
  <c r="AE412" i="3"/>
  <c r="AD412" i="3"/>
  <c r="AC412" i="3"/>
  <c r="AB412" i="3"/>
  <c r="Z412" i="3"/>
  <c r="H412" i="3"/>
  <c r="AL412" i="3" s="1"/>
  <c r="BJ411" i="3"/>
  <c r="BF411" i="3"/>
  <c r="BD411" i="3"/>
  <c r="AW411" i="3"/>
  <c r="AP411" i="3"/>
  <c r="AX411" i="3" s="1"/>
  <c r="AO411" i="3"/>
  <c r="BH411" i="3" s="1"/>
  <c r="AF411" i="3" s="1"/>
  <c r="AK411" i="3"/>
  <c r="AJ411" i="3"/>
  <c r="AH411" i="3"/>
  <c r="AE411" i="3"/>
  <c r="AD411" i="3"/>
  <c r="AC411" i="3"/>
  <c r="AB411" i="3"/>
  <c r="Z411" i="3"/>
  <c r="H411" i="3"/>
  <c r="AL411" i="3" s="1"/>
  <c r="BJ410" i="3"/>
  <c r="BF410" i="3"/>
  <c r="BD410" i="3"/>
  <c r="AP410" i="3"/>
  <c r="AO410" i="3"/>
  <c r="AK410" i="3"/>
  <c r="AJ410" i="3"/>
  <c r="AH410" i="3"/>
  <c r="AE410" i="3"/>
  <c r="AD410" i="3"/>
  <c r="AC410" i="3"/>
  <c r="AB410" i="3"/>
  <c r="Z410" i="3"/>
  <c r="H410" i="3"/>
  <c r="BJ408" i="3"/>
  <c r="BF408" i="3"/>
  <c r="BD408" i="3"/>
  <c r="AP408" i="3"/>
  <c r="AO408" i="3"/>
  <c r="BH408" i="3" s="1"/>
  <c r="AF408" i="3" s="1"/>
  <c r="AL408" i="3"/>
  <c r="AK408" i="3"/>
  <c r="AJ408" i="3"/>
  <c r="AH408" i="3"/>
  <c r="AE408" i="3"/>
  <c r="AD408" i="3"/>
  <c r="AC408" i="3"/>
  <c r="AB408" i="3"/>
  <c r="Z408" i="3"/>
  <c r="H408" i="3"/>
  <c r="BJ407" i="3"/>
  <c r="BF407" i="3"/>
  <c r="BD407" i="3"/>
  <c r="AP407" i="3"/>
  <c r="AX407" i="3" s="1"/>
  <c r="AO407" i="3"/>
  <c r="AK407" i="3"/>
  <c r="AJ407" i="3"/>
  <c r="AH407" i="3"/>
  <c r="AE407" i="3"/>
  <c r="AD407" i="3"/>
  <c r="AC407" i="3"/>
  <c r="AB407" i="3"/>
  <c r="Z407" i="3"/>
  <c r="H407" i="3"/>
  <c r="AL407" i="3" s="1"/>
  <c r="BJ406" i="3"/>
  <c r="BF406" i="3"/>
  <c r="BD406" i="3"/>
  <c r="AP406" i="3"/>
  <c r="BI406" i="3" s="1"/>
  <c r="AG406" i="3" s="1"/>
  <c r="AO406" i="3"/>
  <c r="AK406" i="3"/>
  <c r="AJ406" i="3"/>
  <c r="AH406" i="3"/>
  <c r="AE406" i="3"/>
  <c r="AD406" i="3"/>
  <c r="AC406" i="3"/>
  <c r="AB406" i="3"/>
  <c r="Z406" i="3"/>
  <c r="H406" i="3"/>
  <c r="AL406" i="3" s="1"/>
  <c r="BJ405" i="3"/>
  <c r="BF405" i="3"/>
  <c r="BD405" i="3"/>
  <c r="AP405" i="3"/>
  <c r="AO405" i="3"/>
  <c r="BH405" i="3" s="1"/>
  <c r="AF405" i="3" s="1"/>
  <c r="AK405" i="3"/>
  <c r="AJ405" i="3"/>
  <c r="AH405" i="3"/>
  <c r="AE405" i="3"/>
  <c r="AD405" i="3"/>
  <c r="AC405" i="3"/>
  <c r="AB405" i="3"/>
  <c r="Z405" i="3"/>
  <c r="H405" i="3"/>
  <c r="AL405" i="3" s="1"/>
  <c r="BJ404" i="3"/>
  <c r="BF404" i="3"/>
  <c r="BD404" i="3"/>
  <c r="AP404" i="3"/>
  <c r="AO404" i="3"/>
  <c r="AK404" i="3"/>
  <c r="AJ404" i="3"/>
  <c r="AH404" i="3"/>
  <c r="AE404" i="3"/>
  <c r="AD404" i="3"/>
  <c r="AC404" i="3"/>
  <c r="AB404" i="3"/>
  <c r="Z404" i="3"/>
  <c r="H404" i="3"/>
  <c r="AL404" i="3" s="1"/>
  <c r="BJ403" i="3"/>
  <c r="BF403" i="3"/>
  <c r="BD403" i="3"/>
  <c r="AP403" i="3"/>
  <c r="AO403" i="3"/>
  <c r="AW403" i="3" s="1"/>
  <c r="AK403" i="3"/>
  <c r="AJ403" i="3"/>
  <c r="AH403" i="3"/>
  <c r="AE403" i="3"/>
  <c r="AD403" i="3"/>
  <c r="AC403" i="3"/>
  <c r="AB403" i="3"/>
  <c r="Z403" i="3"/>
  <c r="H403" i="3"/>
  <c r="AL403" i="3" s="1"/>
  <c r="BJ402" i="3"/>
  <c r="BF402" i="3"/>
  <c r="BD402" i="3"/>
  <c r="AP402" i="3"/>
  <c r="BI402" i="3" s="1"/>
  <c r="AO402" i="3"/>
  <c r="AW402" i="3" s="1"/>
  <c r="AK402" i="3"/>
  <c r="AJ402" i="3"/>
  <c r="AH402" i="3"/>
  <c r="AG402" i="3"/>
  <c r="AE402" i="3"/>
  <c r="AD402" i="3"/>
  <c r="AC402" i="3"/>
  <c r="AB402" i="3"/>
  <c r="Z402" i="3"/>
  <c r="H402" i="3"/>
  <c r="AL402" i="3" s="1"/>
  <c r="BJ401" i="3"/>
  <c r="BF401" i="3"/>
  <c r="BD401" i="3"/>
  <c r="AP401" i="3"/>
  <c r="AO401" i="3"/>
  <c r="BH401" i="3" s="1"/>
  <c r="AF401" i="3" s="1"/>
  <c r="AK401" i="3"/>
  <c r="AJ401" i="3"/>
  <c r="AH401" i="3"/>
  <c r="AE401" i="3"/>
  <c r="AD401" i="3"/>
  <c r="AC401" i="3"/>
  <c r="AB401" i="3"/>
  <c r="Z401" i="3"/>
  <c r="H401" i="3"/>
  <c r="AL401" i="3" s="1"/>
  <c r="BJ400" i="3"/>
  <c r="BF400" i="3"/>
  <c r="BD400" i="3"/>
  <c r="AP400" i="3"/>
  <c r="AO400" i="3"/>
  <c r="AW400" i="3" s="1"/>
  <c r="AK400" i="3"/>
  <c r="AJ400" i="3"/>
  <c r="AH400" i="3"/>
  <c r="AE400" i="3"/>
  <c r="AD400" i="3"/>
  <c r="AC400" i="3"/>
  <c r="AB400" i="3"/>
  <c r="Z400" i="3"/>
  <c r="H400" i="3"/>
  <c r="AL400" i="3" s="1"/>
  <c r="BJ399" i="3"/>
  <c r="BF399" i="3"/>
  <c r="BD399" i="3"/>
  <c r="AX399" i="3"/>
  <c r="AP399" i="3"/>
  <c r="BI399" i="3" s="1"/>
  <c r="AG399" i="3" s="1"/>
  <c r="AO399" i="3"/>
  <c r="BH399" i="3" s="1"/>
  <c r="AF399" i="3" s="1"/>
  <c r="AK399" i="3"/>
  <c r="AJ399" i="3"/>
  <c r="AH399" i="3"/>
  <c r="AE399" i="3"/>
  <c r="AD399" i="3"/>
  <c r="AC399" i="3"/>
  <c r="AB399" i="3"/>
  <c r="Z399" i="3"/>
  <c r="H399" i="3"/>
  <c r="AL399" i="3" s="1"/>
  <c r="BJ398" i="3"/>
  <c r="BF398" i="3"/>
  <c r="BD398" i="3"/>
  <c r="AP398" i="3"/>
  <c r="BI398" i="3" s="1"/>
  <c r="AO398" i="3"/>
  <c r="AW398" i="3" s="1"/>
  <c r="AL398" i="3"/>
  <c r="AK398" i="3"/>
  <c r="AJ398" i="3"/>
  <c r="AH398" i="3"/>
  <c r="AG398" i="3"/>
  <c r="AE398" i="3"/>
  <c r="AD398" i="3"/>
  <c r="AC398" i="3"/>
  <c r="AB398" i="3"/>
  <c r="Z398" i="3"/>
  <c r="H398" i="3"/>
  <c r="BJ397" i="3"/>
  <c r="BF397" i="3"/>
  <c r="BD397" i="3"/>
  <c r="AP397" i="3"/>
  <c r="AX397" i="3" s="1"/>
  <c r="AO397" i="3"/>
  <c r="AK397" i="3"/>
  <c r="AJ397" i="3"/>
  <c r="AH397" i="3"/>
  <c r="AE397" i="3"/>
  <c r="AD397" i="3"/>
  <c r="AC397" i="3"/>
  <c r="AB397" i="3"/>
  <c r="Z397" i="3"/>
  <c r="H397" i="3"/>
  <c r="AL397" i="3" s="1"/>
  <c r="BJ396" i="3"/>
  <c r="BF396" i="3"/>
  <c r="BD396" i="3"/>
  <c r="AP396" i="3"/>
  <c r="AO396" i="3"/>
  <c r="AW396" i="3" s="1"/>
  <c r="AK396" i="3"/>
  <c r="AJ396" i="3"/>
  <c r="AH396" i="3"/>
  <c r="AE396" i="3"/>
  <c r="AD396" i="3"/>
  <c r="AC396" i="3"/>
  <c r="AB396" i="3"/>
  <c r="Z396" i="3"/>
  <c r="H396" i="3"/>
  <c r="AL396" i="3" s="1"/>
  <c r="BJ395" i="3"/>
  <c r="BF395" i="3"/>
  <c r="BD395" i="3"/>
  <c r="AW395" i="3"/>
  <c r="AP395" i="3"/>
  <c r="AO395" i="3"/>
  <c r="BH395" i="3" s="1"/>
  <c r="AF395" i="3" s="1"/>
  <c r="AK395" i="3"/>
  <c r="AJ395" i="3"/>
  <c r="AH395" i="3"/>
  <c r="AE395" i="3"/>
  <c r="AD395" i="3"/>
  <c r="AC395" i="3"/>
  <c r="AB395" i="3"/>
  <c r="Z395" i="3"/>
  <c r="H395" i="3"/>
  <c r="AL395" i="3" s="1"/>
  <c r="BJ394" i="3"/>
  <c r="BF394" i="3"/>
  <c r="BD394" i="3"/>
  <c r="AX394" i="3"/>
  <c r="AP394" i="3"/>
  <c r="BI394" i="3" s="1"/>
  <c r="AG394" i="3" s="1"/>
  <c r="AO394" i="3"/>
  <c r="AK394" i="3"/>
  <c r="AJ394" i="3"/>
  <c r="AH394" i="3"/>
  <c r="AE394" i="3"/>
  <c r="AD394" i="3"/>
  <c r="AC394" i="3"/>
  <c r="AB394" i="3"/>
  <c r="Z394" i="3"/>
  <c r="H394" i="3"/>
  <c r="AL394" i="3" s="1"/>
  <c r="BJ393" i="3"/>
  <c r="BF393" i="3"/>
  <c r="BD393" i="3"/>
  <c r="AP393" i="3"/>
  <c r="AX393" i="3" s="1"/>
  <c r="AO393" i="3"/>
  <c r="BH393" i="3" s="1"/>
  <c r="AK393" i="3"/>
  <c r="AJ393" i="3"/>
  <c r="AH393" i="3"/>
  <c r="AF393" i="3"/>
  <c r="AE393" i="3"/>
  <c r="AD393" i="3"/>
  <c r="AC393" i="3"/>
  <c r="AB393" i="3"/>
  <c r="Z393" i="3"/>
  <c r="H393" i="3"/>
  <c r="AL393" i="3" s="1"/>
  <c r="BJ392" i="3"/>
  <c r="BF392" i="3"/>
  <c r="BD392" i="3"/>
  <c r="AP392" i="3"/>
  <c r="AX392" i="3" s="1"/>
  <c r="AO392" i="3"/>
  <c r="AK392" i="3"/>
  <c r="AJ392" i="3"/>
  <c r="AH392" i="3"/>
  <c r="AE392" i="3"/>
  <c r="AD392" i="3"/>
  <c r="AC392" i="3"/>
  <c r="AB392" i="3"/>
  <c r="Z392" i="3"/>
  <c r="H392" i="3"/>
  <c r="AL392" i="3" s="1"/>
  <c r="BJ391" i="3"/>
  <c r="BF391" i="3"/>
  <c r="BD391" i="3"/>
  <c r="AP391" i="3"/>
  <c r="AO391" i="3"/>
  <c r="AK391" i="3"/>
  <c r="AJ391" i="3"/>
  <c r="AH391" i="3"/>
  <c r="AE391" i="3"/>
  <c r="AD391" i="3"/>
  <c r="AC391" i="3"/>
  <c r="AB391" i="3"/>
  <c r="Z391" i="3"/>
  <c r="H391" i="3"/>
  <c r="AL391" i="3" s="1"/>
  <c r="BJ390" i="3"/>
  <c r="BF390" i="3"/>
  <c r="BD390" i="3"/>
  <c r="AP390" i="3"/>
  <c r="AO390" i="3"/>
  <c r="AK390" i="3"/>
  <c r="AJ390" i="3"/>
  <c r="AH390" i="3"/>
  <c r="AE390" i="3"/>
  <c r="AD390" i="3"/>
  <c r="AC390" i="3"/>
  <c r="AB390" i="3"/>
  <c r="Z390" i="3"/>
  <c r="H390" i="3"/>
  <c r="BJ389" i="3"/>
  <c r="BF389" i="3"/>
  <c r="BD389" i="3"/>
  <c r="AP389" i="3"/>
  <c r="AO389" i="3"/>
  <c r="AK389" i="3"/>
  <c r="AJ389" i="3"/>
  <c r="AH389" i="3"/>
  <c r="AE389" i="3"/>
  <c r="AD389" i="3"/>
  <c r="AC389" i="3"/>
  <c r="AB389" i="3"/>
  <c r="Z389" i="3"/>
  <c r="H389" i="3"/>
  <c r="AL389" i="3" s="1"/>
  <c r="BJ387" i="3"/>
  <c r="BF387" i="3"/>
  <c r="BD387" i="3"/>
  <c r="AP387" i="3"/>
  <c r="AO387" i="3"/>
  <c r="AW387" i="3" s="1"/>
  <c r="AK387" i="3"/>
  <c r="AJ387" i="3"/>
  <c r="AH387" i="3"/>
  <c r="AE387" i="3"/>
  <c r="AD387" i="3"/>
  <c r="AC387" i="3"/>
  <c r="AB387" i="3"/>
  <c r="Z387" i="3"/>
  <c r="H387" i="3"/>
  <c r="AL387" i="3" s="1"/>
  <c r="BJ386" i="3"/>
  <c r="BH386" i="3"/>
  <c r="AF386" i="3" s="1"/>
  <c r="BF386" i="3"/>
  <c r="BD386" i="3"/>
  <c r="AW386" i="3"/>
  <c r="AP386" i="3"/>
  <c r="AO386" i="3"/>
  <c r="AK386" i="3"/>
  <c r="AJ386" i="3"/>
  <c r="AH386" i="3"/>
  <c r="AE386" i="3"/>
  <c r="AD386" i="3"/>
  <c r="AC386" i="3"/>
  <c r="AB386" i="3"/>
  <c r="Z386" i="3"/>
  <c r="H386" i="3"/>
  <c r="AL386" i="3" s="1"/>
  <c r="BJ385" i="3"/>
  <c r="BF385" i="3"/>
  <c r="BD385" i="3"/>
  <c r="AP385" i="3"/>
  <c r="BI385" i="3" s="1"/>
  <c r="AG385" i="3" s="1"/>
  <c r="AO385" i="3"/>
  <c r="AW385" i="3" s="1"/>
  <c r="AK385" i="3"/>
  <c r="AJ385" i="3"/>
  <c r="AH385" i="3"/>
  <c r="AE385" i="3"/>
  <c r="AD385" i="3"/>
  <c r="AC385" i="3"/>
  <c r="AB385" i="3"/>
  <c r="Z385" i="3"/>
  <c r="H385" i="3"/>
  <c r="AL385" i="3" s="1"/>
  <c r="BJ384" i="3"/>
  <c r="BF384" i="3"/>
  <c r="BD384" i="3"/>
  <c r="AP384" i="3"/>
  <c r="AO384" i="3"/>
  <c r="BH384" i="3" s="1"/>
  <c r="AF384" i="3" s="1"/>
  <c r="AK384" i="3"/>
  <c r="AJ384" i="3"/>
  <c r="AH384" i="3"/>
  <c r="AE384" i="3"/>
  <c r="AD384" i="3"/>
  <c r="AC384" i="3"/>
  <c r="AB384" i="3"/>
  <c r="Z384" i="3"/>
  <c r="H384" i="3"/>
  <c r="AL384" i="3" s="1"/>
  <c r="BJ383" i="3"/>
  <c r="BF383" i="3"/>
  <c r="BD383" i="3"/>
  <c r="AP383" i="3"/>
  <c r="AO383" i="3"/>
  <c r="AW383" i="3" s="1"/>
  <c r="AK383" i="3"/>
  <c r="AJ383" i="3"/>
  <c r="AH383" i="3"/>
  <c r="AE383" i="3"/>
  <c r="AD383" i="3"/>
  <c r="AC383" i="3"/>
  <c r="AB383" i="3"/>
  <c r="Z383" i="3"/>
  <c r="H383" i="3"/>
  <c r="AL383" i="3" s="1"/>
  <c r="BJ382" i="3"/>
  <c r="BF382" i="3"/>
  <c r="BD382" i="3"/>
  <c r="AP382" i="3"/>
  <c r="AO382" i="3"/>
  <c r="AK382" i="3"/>
  <c r="AJ382" i="3"/>
  <c r="AH382" i="3"/>
  <c r="AE382" i="3"/>
  <c r="AD382" i="3"/>
  <c r="AC382" i="3"/>
  <c r="AB382" i="3"/>
  <c r="Z382" i="3"/>
  <c r="H382" i="3"/>
  <c r="AL382" i="3" s="1"/>
  <c r="BJ381" i="3"/>
  <c r="BF381" i="3"/>
  <c r="BD381" i="3"/>
  <c r="AP381" i="3"/>
  <c r="BI381" i="3" s="1"/>
  <c r="AG381" i="3" s="1"/>
  <c r="AO381" i="3"/>
  <c r="AK381" i="3"/>
  <c r="AJ381" i="3"/>
  <c r="AH381" i="3"/>
  <c r="AE381" i="3"/>
  <c r="AD381" i="3"/>
  <c r="AC381" i="3"/>
  <c r="AB381" i="3"/>
  <c r="Z381" i="3"/>
  <c r="H381" i="3"/>
  <c r="AL381" i="3" s="1"/>
  <c r="BJ380" i="3"/>
  <c r="BF380" i="3"/>
  <c r="BD380" i="3"/>
  <c r="AW380" i="3"/>
  <c r="BC380" i="3" s="1"/>
  <c r="AP380" i="3"/>
  <c r="AX380" i="3" s="1"/>
  <c r="AO380" i="3"/>
  <c r="BH380" i="3" s="1"/>
  <c r="AK380" i="3"/>
  <c r="AJ380" i="3"/>
  <c r="AH380" i="3"/>
  <c r="AF380" i="3"/>
  <c r="AE380" i="3"/>
  <c r="AD380" i="3"/>
  <c r="AC380" i="3"/>
  <c r="AB380" i="3"/>
  <c r="Z380" i="3"/>
  <c r="H380" i="3"/>
  <c r="AL380" i="3" s="1"/>
  <c r="BJ379" i="3"/>
  <c r="BF379" i="3"/>
  <c r="BD379" i="3"/>
  <c r="AP379" i="3"/>
  <c r="AX379" i="3" s="1"/>
  <c r="AO379" i="3"/>
  <c r="AK379" i="3"/>
  <c r="AJ379" i="3"/>
  <c r="AH379" i="3"/>
  <c r="AE379" i="3"/>
  <c r="AD379" i="3"/>
  <c r="AC379" i="3"/>
  <c r="AB379" i="3"/>
  <c r="Z379" i="3"/>
  <c r="H379" i="3"/>
  <c r="AL379" i="3" s="1"/>
  <c r="BJ378" i="3"/>
  <c r="BF378" i="3"/>
  <c r="BD378" i="3"/>
  <c r="AP378" i="3"/>
  <c r="AX378" i="3" s="1"/>
  <c r="AO378" i="3"/>
  <c r="AK378" i="3"/>
  <c r="AJ378" i="3"/>
  <c r="AH378" i="3"/>
  <c r="AE378" i="3"/>
  <c r="AD378" i="3"/>
  <c r="AC378" i="3"/>
  <c r="AB378" i="3"/>
  <c r="Z378" i="3"/>
  <c r="H378" i="3"/>
  <c r="AL378" i="3" s="1"/>
  <c r="BJ377" i="3"/>
  <c r="BF377" i="3"/>
  <c r="BD377" i="3"/>
  <c r="AX377" i="3"/>
  <c r="AP377" i="3"/>
  <c r="BI377" i="3" s="1"/>
  <c r="AG377" i="3" s="1"/>
  <c r="AO377" i="3"/>
  <c r="AK377" i="3"/>
  <c r="AJ377" i="3"/>
  <c r="AH377" i="3"/>
  <c r="AE377" i="3"/>
  <c r="AD377" i="3"/>
  <c r="AC377" i="3"/>
  <c r="AB377" i="3"/>
  <c r="Z377" i="3"/>
  <c r="H377" i="3"/>
  <c r="AL377" i="3" s="1"/>
  <c r="BJ376" i="3"/>
  <c r="BF376" i="3"/>
  <c r="BD376" i="3"/>
  <c r="AP376" i="3"/>
  <c r="AO376" i="3"/>
  <c r="BH376" i="3" s="1"/>
  <c r="AF376" i="3" s="1"/>
  <c r="AK376" i="3"/>
  <c r="AJ376" i="3"/>
  <c r="AH376" i="3"/>
  <c r="AE376" i="3"/>
  <c r="AD376" i="3"/>
  <c r="AC376" i="3"/>
  <c r="AB376" i="3"/>
  <c r="Z376" i="3"/>
  <c r="H376" i="3"/>
  <c r="AL376" i="3" s="1"/>
  <c r="BJ375" i="3"/>
  <c r="BF375" i="3"/>
  <c r="BD375" i="3"/>
  <c r="AX375" i="3"/>
  <c r="AP375" i="3"/>
  <c r="BI375" i="3" s="1"/>
  <c r="AG375" i="3" s="1"/>
  <c r="AO375" i="3"/>
  <c r="AK375" i="3"/>
  <c r="AJ375" i="3"/>
  <c r="AH375" i="3"/>
  <c r="AE375" i="3"/>
  <c r="AD375" i="3"/>
  <c r="AC375" i="3"/>
  <c r="AB375" i="3"/>
  <c r="Z375" i="3"/>
  <c r="H375" i="3"/>
  <c r="AL375" i="3" s="1"/>
  <c r="BJ374" i="3"/>
  <c r="BF374" i="3"/>
  <c r="BD374" i="3"/>
  <c r="AP374" i="3"/>
  <c r="AO374" i="3"/>
  <c r="AK374" i="3"/>
  <c r="AJ374" i="3"/>
  <c r="AH374" i="3"/>
  <c r="AE374" i="3"/>
  <c r="AD374" i="3"/>
  <c r="AC374" i="3"/>
  <c r="AB374" i="3"/>
  <c r="Z374" i="3"/>
  <c r="H374" i="3"/>
  <c r="AL374" i="3" s="1"/>
  <c r="BJ373" i="3"/>
  <c r="BF373" i="3"/>
  <c r="BD373" i="3"/>
  <c r="AP373" i="3"/>
  <c r="AO373" i="3"/>
  <c r="AL373" i="3"/>
  <c r="AK373" i="3"/>
  <c r="AJ373" i="3"/>
  <c r="AH373" i="3"/>
  <c r="AE373" i="3"/>
  <c r="AD373" i="3"/>
  <c r="AC373" i="3"/>
  <c r="AB373" i="3"/>
  <c r="Z373" i="3"/>
  <c r="H373" i="3"/>
  <c r="BJ372" i="3"/>
  <c r="BF372" i="3"/>
  <c r="BD372" i="3"/>
  <c r="AP372" i="3"/>
  <c r="AO372" i="3"/>
  <c r="BH372" i="3" s="1"/>
  <c r="AF372" i="3" s="1"/>
  <c r="AK372" i="3"/>
  <c r="AJ372" i="3"/>
  <c r="AH372" i="3"/>
  <c r="AE372" i="3"/>
  <c r="AD372" i="3"/>
  <c r="AC372" i="3"/>
  <c r="AB372" i="3"/>
  <c r="Z372" i="3"/>
  <c r="H372" i="3"/>
  <c r="AL372" i="3" s="1"/>
  <c r="BJ371" i="3"/>
  <c r="BF371" i="3"/>
  <c r="BD371" i="3"/>
  <c r="AX371" i="3"/>
  <c r="AP371" i="3"/>
  <c r="BI371" i="3" s="1"/>
  <c r="AG371" i="3" s="1"/>
  <c r="AO371" i="3"/>
  <c r="AK371" i="3"/>
  <c r="AJ371" i="3"/>
  <c r="AH371" i="3"/>
  <c r="AE371" i="3"/>
  <c r="AD371" i="3"/>
  <c r="AC371" i="3"/>
  <c r="AB371" i="3"/>
  <c r="Z371" i="3"/>
  <c r="H371" i="3"/>
  <c r="AL371" i="3" s="1"/>
  <c r="BJ370" i="3"/>
  <c r="BF370" i="3"/>
  <c r="BD370" i="3"/>
  <c r="AP370" i="3"/>
  <c r="BI370" i="3" s="1"/>
  <c r="AO370" i="3"/>
  <c r="AK370" i="3"/>
  <c r="AJ370" i="3"/>
  <c r="AH370" i="3"/>
  <c r="AG370" i="3"/>
  <c r="AE370" i="3"/>
  <c r="AD370" i="3"/>
  <c r="AC370" i="3"/>
  <c r="AB370" i="3"/>
  <c r="Z370" i="3"/>
  <c r="H370" i="3"/>
  <c r="AL370" i="3" s="1"/>
  <c r="BJ369" i="3"/>
  <c r="BF369" i="3"/>
  <c r="BD369" i="3"/>
  <c r="AP369" i="3"/>
  <c r="AO369" i="3"/>
  <c r="BH369" i="3" s="1"/>
  <c r="AF369" i="3" s="1"/>
  <c r="AK369" i="3"/>
  <c r="AJ369" i="3"/>
  <c r="AH369" i="3"/>
  <c r="AE369" i="3"/>
  <c r="AD369" i="3"/>
  <c r="AC369" i="3"/>
  <c r="AB369" i="3"/>
  <c r="Z369" i="3"/>
  <c r="H369" i="3"/>
  <c r="AL369" i="3" s="1"/>
  <c r="BJ368" i="3"/>
  <c r="BI368" i="3"/>
  <c r="AG368" i="3" s="1"/>
  <c r="BF368" i="3"/>
  <c r="BD368" i="3"/>
  <c r="AP368" i="3"/>
  <c r="AX368" i="3" s="1"/>
  <c r="AO368" i="3"/>
  <c r="BH368" i="3" s="1"/>
  <c r="AF368" i="3" s="1"/>
  <c r="AK368" i="3"/>
  <c r="AJ368" i="3"/>
  <c r="AH368" i="3"/>
  <c r="AE368" i="3"/>
  <c r="AD368" i="3"/>
  <c r="AC368" i="3"/>
  <c r="AB368" i="3"/>
  <c r="Z368" i="3"/>
  <c r="H368" i="3"/>
  <c r="AL368" i="3" s="1"/>
  <c r="BJ367" i="3"/>
  <c r="BF367" i="3"/>
  <c r="BD367" i="3"/>
  <c r="AP367" i="3"/>
  <c r="AO367" i="3"/>
  <c r="AW367" i="3" s="1"/>
  <c r="AK367" i="3"/>
  <c r="AJ367" i="3"/>
  <c r="AH367" i="3"/>
  <c r="AE367" i="3"/>
  <c r="AD367" i="3"/>
  <c r="AC367" i="3"/>
  <c r="AB367" i="3"/>
  <c r="Z367" i="3"/>
  <c r="H367" i="3"/>
  <c r="AL367" i="3" s="1"/>
  <c r="BJ366" i="3"/>
  <c r="BF366" i="3"/>
  <c r="BD366" i="3"/>
  <c r="AP366" i="3"/>
  <c r="AO366" i="3"/>
  <c r="AW366" i="3" s="1"/>
  <c r="AK366" i="3"/>
  <c r="AJ366" i="3"/>
  <c r="AH366" i="3"/>
  <c r="AE366" i="3"/>
  <c r="AD366" i="3"/>
  <c r="AC366" i="3"/>
  <c r="AB366" i="3"/>
  <c r="Z366" i="3"/>
  <c r="H366" i="3"/>
  <c r="AL366" i="3" s="1"/>
  <c r="BJ365" i="3"/>
  <c r="BH365" i="3"/>
  <c r="AF365" i="3" s="1"/>
  <c r="BF365" i="3"/>
  <c r="BD365" i="3"/>
  <c r="AP365" i="3"/>
  <c r="AO365" i="3"/>
  <c r="AW365" i="3" s="1"/>
  <c r="AK365" i="3"/>
  <c r="AJ365" i="3"/>
  <c r="AH365" i="3"/>
  <c r="AE365" i="3"/>
  <c r="AD365" i="3"/>
  <c r="AC365" i="3"/>
  <c r="AB365" i="3"/>
  <c r="Z365" i="3"/>
  <c r="H365" i="3"/>
  <c r="AL365" i="3" s="1"/>
  <c r="BJ364" i="3"/>
  <c r="BI364" i="3"/>
  <c r="AG364" i="3" s="1"/>
  <c r="BF364" i="3"/>
  <c r="BD364" i="3"/>
  <c r="AP364" i="3"/>
  <c r="AX364" i="3" s="1"/>
  <c r="AO364" i="3"/>
  <c r="AK364" i="3"/>
  <c r="AJ364" i="3"/>
  <c r="AH364" i="3"/>
  <c r="AE364" i="3"/>
  <c r="AD364" i="3"/>
  <c r="AC364" i="3"/>
  <c r="AB364" i="3"/>
  <c r="Z364" i="3"/>
  <c r="H364" i="3"/>
  <c r="AL364" i="3" s="1"/>
  <c r="BJ363" i="3"/>
  <c r="BF363" i="3"/>
  <c r="BD363" i="3"/>
  <c r="AP363" i="3"/>
  <c r="AO363" i="3"/>
  <c r="AK363" i="3"/>
  <c r="AJ363" i="3"/>
  <c r="AH363" i="3"/>
  <c r="AE363" i="3"/>
  <c r="AD363" i="3"/>
  <c r="AC363" i="3"/>
  <c r="AB363" i="3"/>
  <c r="Z363" i="3"/>
  <c r="H363" i="3"/>
  <c r="AL363" i="3" s="1"/>
  <c r="BJ362" i="3"/>
  <c r="BF362" i="3"/>
  <c r="BD362" i="3"/>
  <c r="AP362" i="3"/>
  <c r="AX362" i="3" s="1"/>
  <c r="AO362" i="3"/>
  <c r="AK362" i="3"/>
  <c r="AJ362" i="3"/>
  <c r="AH362" i="3"/>
  <c r="AE362" i="3"/>
  <c r="AD362" i="3"/>
  <c r="AC362" i="3"/>
  <c r="AB362" i="3"/>
  <c r="Z362" i="3"/>
  <c r="H362" i="3"/>
  <c r="AL362" i="3" s="1"/>
  <c r="BJ361" i="3"/>
  <c r="BF361" i="3"/>
  <c r="BD361" i="3"/>
  <c r="AP361" i="3"/>
  <c r="AO361" i="3"/>
  <c r="AK361" i="3"/>
  <c r="AJ361" i="3"/>
  <c r="AH361" i="3"/>
  <c r="AE361" i="3"/>
  <c r="AD361" i="3"/>
  <c r="AC361" i="3"/>
  <c r="AB361" i="3"/>
  <c r="Z361" i="3"/>
  <c r="H361" i="3"/>
  <c r="AL361" i="3" s="1"/>
  <c r="BJ360" i="3"/>
  <c r="BF360" i="3"/>
  <c r="BD360" i="3"/>
  <c r="AP360" i="3"/>
  <c r="AO360" i="3"/>
  <c r="BH360" i="3" s="1"/>
  <c r="AL360" i="3"/>
  <c r="AK360" i="3"/>
  <c r="AJ360" i="3"/>
  <c r="AH360" i="3"/>
  <c r="AF360" i="3"/>
  <c r="AE360" i="3"/>
  <c r="AD360" i="3"/>
  <c r="AC360" i="3"/>
  <c r="AB360" i="3"/>
  <c r="Z360" i="3"/>
  <c r="H360" i="3"/>
  <c r="BJ359" i="3"/>
  <c r="BI359" i="3"/>
  <c r="AG359" i="3" s="1"/>
  <c r="BF359" i="3"/>
  <c r="BD359" i="3"/>
  <c r="AP359" i="3"/>
  <c r="AX359" i="3" s="1"/>
  <c r="AO359" i="3"/>
  <c r="AK359" i="3"/>
  <c r="AJ359" i="3"/>
  <c r="AH359" i="3"/>
  <c r="AE359" i="3"/>
  <c r="AD359" i="3"/>
  <c r="AC359" i="3"/>
  <c r="AB359" i="3"/>
  <c r="Z359" i="3"/>
  <c r="H359" i="3"/>
  <c r="AL359" i="3" s="1"/>
  <c r="BJ358" i="3"/>
  <c r="BF358" i="3"/>
  <c r="BD358" i="3"/>
  <c r="AP358" i="3"/>
  <c r="AX358" i="3" s="1"/>
  <c r="AO358" i="3"/>
  <c r="AL358" i="3"/>
  <c r="AK358" i="3"/>
  <c r="AJ358" i="3"/>
  <c r="AH358" i="3"/>
  <c r="AE358" i="3"/>
  <c r="AD358" i="3"/>
  <c r="AC358" i="3"/>
  <c r="AB358" i="3"/>
  <c r="Z358" i="3"/>
  <c r="H358" i="3"/>
  <c r="BJ357" i="3"/>
  <c r="BH357" i="3"/>
  <c r="AF357" i="3" s="1"/>
  <c r="BF357" i="3"/>
  <c r="BD357" i="3"/>
  <c r="AW357" i="3"/>
  <c r="AP357" i="3"/>
  <c r="BI357" i="3" s="1"/>
  <c r="AG357" i="3" s="1"/>
  <c r="AO357" i="3"/>
  <c r="AK357" i="3"/>
  <c r="AJ357" i="3"/>
  <c r="AH357" i="3"/>
  <c r="AE357" i="3"/>
  <c r="AD357" i="3"/>
  <c r="AC357" i="3"/>
  <c r="AB357" i="3"/>
  <c r="Z357" i="3"/>
  <c r="H357" i="3"/>
  <c r="AL357" i="3" s="1"/>
  <c r="BJ356" i="3"/>
  <c r="BF356" i="3"/>
  <c r="BD356" i="3"/>
  <c r="AP356" i="3"/>
  <c r="AO356" i="3"/>
  <c r="BH356" i="3" s="1"/>
  <c r="AF356" i="3" s="1"/>
  <c r="AK356" i="3"/>
  <c r="AJ356" i="3"/>
  <c r="AH356" i="3"/>
  <c r="AE356" i="3"/>
  <c r="AD356" i="3"/>
  <c r="AC356" i="3"/>
  <c r="AB356" i="3"/>
  <c r="Z356" i="3"/>
  <c r="H356" i="3"/>
  <c r="AL356" i="3" s="1"/>
  <c r="BJ355" i="3"/>
  <c r="BF355" i="3"/>
  <c r="BD355" i="3"/>
  <c r="AP355" i="3"/>
  <c r="AO355" i="3"/>
  <c r="AW355" i="3" s="1"/>
  <c r="AK355" i="3"/>
  <c r="AJ355" i="3"/>
  <c r="AH355" i="3"/>
  <c r="AE355" i="3"/>
  <c r="AD355" i="3"/>
  <c r="AC355" i="3"/>
  <c r="AB355" i="3"/>
  <c r="Z355" i="3"/>
  <c r="H355" i="3"/>
  <c r="AL355" i="3" s="1"/>
  <c r="BJ354" i="3"/>
  <c r="BF354" i="3"/>
  <c r="BD354" i="3"/>
  <c r="AP354" i="3"/>
  <c r="AX354" i="3" s="1"/>
  <c r="AO354" i="3"/>
  <c r="BH354" i="3" s="1"/>
  <c r="AF354" i="3" s="1"/>
  <c r="AK354" i="3"/>
  <c r="AJ354" i="3"/>
  <c r="AH354" i="3"/>
  <c r="AE354" i="3"/>
  <c r="AD354" i="3"/>
  <c r="AC354" i="3"/>
  <c r="AB354" i="3"/>
  <c r="Z354" i="3"/>
  <c r="H354" i="3"/>
  <c r="AL354" i="3" s="1"/>
  <c r="BJ353" i="3"/>
  <c r="BF353" i="3"/>
  <c r="BD353" i="3"/>
  <c r="AP353" i="3"/>
  <c r="BI353" i="3" s="1"/>
  <c r="AG353" i="3" s="1"/>
  <c r="AO353" i="3"/>
  <c r="AW353" i="3" s="1"/>
  <c r="AK353" i="3"/>
  <c r="AJ353" i="3"/>
  <c r="AH353" i="3"/>
  <c r="AE353" i="3"/>
  <c r="AD353" i="3"/>
  <c r="AC353" i="3"/>
  <c r="AB353" i="3"/>
  <c r="Z353" i="3"/>
  <c r="H353" i="3"/>
  <c r="AL353" i="3" s="1"/>
  <c r="BJ352" i="3"/>
  <c r="BH352" i="3"/>
  <c r="AF352" i="3" s="1"/>
  <c r="BF352" i="3"/>
  <c r="BD352" i="3"/>
  <c r="AW352" i="3"/>
  <c r="AP352" i="3"/>
  <c r="AO352" i="3"/>
  <c r="AK352" i="3"/>
  <c r="AJ352" i="3"/>
  <c r="AH352" i="3"/>
  <c r="AE352" i="3"/>
  <c r="AD352" i="3"/>
  <c r="AC352" i="3"/>
  <c r="AB352" i="3"/>
  <c r="Z352" i="3"/>
  <c r="H352" i="3"/>
  <c r="AL352" i="3" s="1"/>
  <c r="BJ351" i="3"/>
  <c r="BF351" i="3"/>
  <c r="BD351" i="3"/>
  <c r="AX351" i="3"/>
  <c r="AP351" i="3"/>
  <c r="BI351" i="3" s="1"/>
  <c r="AG351" i="3" s="1"/>
  <c r="AO351" i="3"/>
  <c r="AK351" i="3"/>
  <c r="AJ351" i="3"/>
  <c r="AH351" i="3"/>
  <c r="AE351" i="3"/>
  <c r="AD351" i="3"/>
  <c r="AC351" i="3"/>
  <c r="AB351" i="3"/>
  <c r="Z351" i="3"/>
  <c r="H351" i="3"/>
  <c r="AL351" i="3" s="1"/>
  <c r="BJ350" i="3"/>
  <c r="BF350" i="3"/>
  <c r="BD350" i="3"/>
  <c r="AW350" i="3"/>
  <c r="AP350" i="3"/>
  <c r="AO350" i="3"/>
  <c r="BH350" i="3" s="1"/>
  <c r="AK350" i="3"/>
  <c r="AJ350" i="3"/>
  <c r="AH350" i="3"/>
  <c r="AF350" i="3"/>
  <c r="AE350" i="3"/>
  <c r="AD350" i="3"/>
  <c r="AC350" i="3"/>
  <c r="AB350" i="3"/>
  <c r="Z350" i="3"/>
  <c r="H350" i="3"/>
  <c r="AL350" i="3" s="1"/>
  <c r="BJ349" i="3"/>
  <c r="BF349" i="3"/>
  <c r="BD349" i="3"/>
  <c r="AP349" i="3"/>
  <c r="AX349" i="3" s="1"/>
  <c r="AO349" i="3"/>
  <c r="AK349" i="3"/>
  <c r="AJ349" i="3"/>
  <c r="AH349" i="3"/>
  <c r="AE349" i="3"/>
  <c r="AD349" i="3"/>
  <c r="AC349" i="3"/>
  <c r="AB349" i="3"/>
  <c r="Z349" i="3"/>
  <c r="H349" i="3"/>
  <c r="AL349" i="3" s="1"/>
  <c r="BJ348" i="3"/>
  <c r="BF348" i="3"/>
  <c r="BD348" i="3"/>
  <c r="AP348" i="3"/>
  <c r="AO348" i="3"/>
  <c r="AK348" i="3"/>
  <c r="AJ348" i="3"/>
  <c r="AH348" i="3"/>
  <c r="AE348" i="3"/>
  <c r="AD348" i="3"/>
  <c r="AC348" i="3"/>
  <c r="AB348" i="3"/>
  <c r="Z348" i="3"/>
  <c r="H348" i="3"/>
  <c r="AL348" i="3" s="1"/>
  <c r="BJ347" i="3"/>
  <c r="BF347" i="3"/>
  <c r="BD347" i="3"/>
  <c r="AP347" i="3"/>
  <c r="AO347" i="3"/>
  <c r="AK347" i="3"/>
  <c r="AJ347" i="3"/>
  <c r="AH347" i="3"/>
  <c r="AE347" i="3"/>
  <c r="AD347" i="3"/>
  <c r="AC347" i="3"/>
  <c r="AB347" i="3"/>
  <c r="Z347" i="3"/>
  <c r="H347" i="3"/>
  <c r="AL347" i="3" s="1"/>
  <c r="BJ346" i="3"/>
  <c r="BF346" i="3"/>
  <c r="BD346" i="3"/>
  <c r="AP346" i="3"/>
  <c r="AX346" i="3" s="1"/>
  <c r="AO346" i="3"/>
  <c r="BH346" i="3" s="1"/>
  <c r="AF346" i="3" s="1"/>
  <c r="AK346" i="3"/>
  <c r="AJ346" i="3"/>
  <c r="AH346" i="3"/>
  <c r="AE346" i="3"/>
  <c r="AD346" i="3"/>
  <c r="AC346" i="3"/>
  <c r="AB346" i="3"/>
  <c r="Z346" i="3"/>
  <c r="H346" i="3"/>
  <c r="AL346" i="3" s="1"/>
  <c r="BJ345" i="3"/>
  <c r="BF345" i="3"/>
  <c r="BD345" i="3"/>
  <c r="AP345" i="3"/>
  <c r="AO345" i="3"/>
  <c r="AK345" i="3"/>
  <c r="AJ345" i="3"/>
  <c r="AH345" i="3"/>
  <c r="AE345" i="3"/>
  <c r="AD345" i="3"/>
  <c r="AC345" i="3"/>
  <c r="AB345" i="3"/>
  <c r="Z345" i="3"/>
  <c r="H345" i="3"/>
  <c r="AL345" i="3" s="1"/>
  <c r="BJ344" i="3"/>
  <c r="BF344" i="3"/>
  <c r="BD344" i="3"/>
  <c r="AP344" i="3"/>
  <c r="BI344" i="3" s="1"/>
  <c r="AG344" i="3" s="1"/>
  <c r="AO344" i="3"/>
  <c r="AK344" i="3"/>
  <c r="AJ344" i="3"/>
  <c r="AH344" i="3"/>
  <c r="AE344" i="3"/>
  <c r="AD344" i="3"/>
  <c r="AC344" i="3"/>
  <c r="AB344" i="3"/>
  <c r="Z344" i="3"/>
  <c r="H344" i="3"/>
  <c r="BJ343" i="3"/>
  <c r="BF343" i="3"/>
  <c r="BD343" i="3"/>
  <c r="AP343" i="3"/>
  <c r="BI343" i="3" s="1"/>
  <c r="AG343" i="3" s="1"/>
  <c r="AO343" i="3"/>
  <c r="AK343" i="3"/>
  <c r="AJ343" i="3"/>
  <c r="AH343" i="3"/>
  <c r="AE343" i="3"/>
  <c r="AD343" i="3"/>
  <c r="AC343" i="3"/>
  <c r="AB343" i="3"/>
  <c r="Z343" i="3"/>
  <c r="H343" i="3"/>
  <c r="AL343" i="3" s="1"/>
  <c r="BJ342" i="3"/>
  <c r="BF342" i="3"/>
  <c r="BD342" i="3"/>
  <c r="AP342" i="3"/>
  <c r="AO342" i="3"/>
  <c r="AK342" i="3"/>
  <c r="AJ342" i="3"/>
  <c r="AH342" i="3"/>
  <c r="AE342" i="3"/>
  <c r="AD342" i="3"/>
  <c r="AC342" i="3"/>
  <c r="AB342" i="3"/>
  <c r="Z342" i="3"/>
  <c r="H342" i="3"/>
  <c r="AL342" i="3" s="1"/>
  <c r="BJ341" i="3"/>
  <c r="BF341" i="3"/>
  <c r="BD341" i="3"/>
  <c r="AP341" i="3"/>
  <c r="AO341" i="3"/>
  <c r="AK341" i="3"/>
  <c r="AJ341" i="3"/>
  <c r="AH341" i="3"/>
  <c r="AE341" i="3"/>
  <c r="AD341" i="3"/>
  <c r="AC341" i="3"/>
  <c r="AB341" i="3"/>
  <c r="Z341" i="3"/>
  <c r="H341" i="3"/>
  <c r="AL341" i="3" s="1"/>
  <c r="BJ340" i="3"/>
  <c r="BF340" i="3"/>
  <c r="BD340" i="3"/>
  <c r="AW340" i="3"/>
  <c r="AP340" i="3"/>
  <c r="AO340" i="3"/>
  <c r="BH340" i="3" s="1"/>
  <c r="AF340" i="3" s="1"/>
  <c r="AK340" i="3"/>
  <c r="AJ340" i="3"/>
  <c r="AH340" i="3"/>
  <c r="AE340" i="3"/>
  <c r="AD340" i="3"/>
  <c r="AC340" i="3"/>
  <c r="AB340" i="3"/>
  <c r="Z340" i="3"/>
  <c r="H340" i="3"/>
  <c r="AL340" i="3" s="1"/>
  <c r="BJ339" i="3"/>
  <c r="BF339" i="3"/>
  <c r="BD339" i="3"/>
  <c r="AW339" i="3"/>
  <c r="AP339" i="3"/>
  <c r="AO339" i="3"/>
  <c r="BH339" i="3" s="1"/>
  <c r="AF339" i="3" s="1"/>
  <c r="AK339" i="3"/>
  <c r="AJ339" i="3"/>
  <c r="AH339" i="3"/>
  <c r="AE339" i="3"/>
  <c r="AD339" i="3"/>
  <c r="AC339" i="3"/>
  <c r="AB339" i="3"/>
  <c r="Z339" i="3"/>
  <c r="H339" i="3"/>
  <c r="AL339" i="3" s="1"/>
  <c r="BJ338" i="3"/>
  <c r="BF338" i="3"/>
  <c r="BD338" i="3"/>
  <c r="AP338" i="3"/>
  <c r="AO338" i="3"/>
  <c r="AK338" i="3"/>
  <c r="AJ338" i="3"/>
  <c r="AH338" i="3"/>
  <c r="AE338" i="3"/>
  <c r="AD338" i="3"/>
  <c r="AC338" i="3"/>
  <c r="AB338" i="3"/>
  <c r="Z338" i="3"/>
  <c r="H338" i="3"/>
  <c r="AL338" i="3" s="1"/>
  <c r="BJ337" i="3"/>
  <c r="BF337" i="3"/>
  <c r="BD337" i="3"/>
  <c r="AP337" i="3"/>
  <c r="BI337" i="3" s="1"/>
  <c r="AG337" i="3" s="1"/>
  <c r="AO337" i="3"/>
  <c r="AW337" i="3" s="1"/>
  <c r="AK337" i="3"/>
  <c r="AJ337" i="3"/>
  <c r="AH337" i="3"/>
  <c r="AE337" i="3"/>
  <c r="AD337" i="3"/>
  <c r="AC337" i="3"/>
  <c r="AB337" i="3"/>
  <c r="Z337" i="3"/>
  <c r="H337" i="3"/>
  <c r="AL337" i="3" s="1"/>
  <c r="BJ336" i="3"/>
  <c r="BF336" i="3"/>
  <c r="BD336" i="3"/>
  <c r="AX336" i="3"/>
  <c r="AP336" i="3"/>
  <c r="BI336" i="3" s="1"/>
  <c r="AO336" i="3"/>
  <c r="BH336" i="3" s="1"/>
  <c r="AF336" i="3" s="1"/>
  <c r="AL336" i="3"/>
  <c r="AK336" i="3"/>
  <c r="AJ336" i="3"/>
  <c r="AH336" i="3"/>
  <c r="AG336" i="3"/>
  <c r="AE336" i="3"/>
  <c r="AD336" i="3"/>
  <c r="AC336" i="3"/>
  <c r="AB336" i="3"/>
  <c r="Z336" i="3"/>
  <c r="H336" i="3"/>
  <c r="BJ334" i="3"/>
  <c r="Z334" i="3" s="1"/>
  <c r="BF334" i="3"/>
  <c r="BD334" i="3"/>
  <c r="AP334" i="3"/>
  <c r="BI334" i="3" s="1"/>
  <c r="AO334" i="3"/>
  <c r="AK334" i="3"/>
  <c r="AT333" i="3" s="1"/>
  <c r="AJ334" i="3"/>
  <c r="AS333" i="3" s="1"/>
  <c r="AH334" i="3"/>
  <c r="AG334" i="3"/>
  <c r="AF334" i="3"/>
  <c r="AE334" i="3"/>
  <c r="AD334" i="3"/>
  <c r="AC334" i="3"/>
  <c r="AB334" i="3"/>
  <c r="H334" i="3"/>
  <c r="AL334" i="3" s="1"/>
  <c r="AU333" i="3" s="1"/>
  <c r="BJ332" i="3"/>
  <c r="BF332" i="3"/>
  <c r="BD332" i="3"/>
  <c r="AW332" i="3"/>
  <c r="AP332" i="3"/>
  <c r="AX332" i="3" s="1"/>
  <c r="AO332" i="3"/>
  <c r="BH332" i="3" s="1"/>
  <c r="AK332" i="3"/>
  <c r="AJ332" i="3"/>
  <c r="AH332" i="3"/>
  <c r="AG332" i="3"/>
  <c r="AF332" i="3"/>
  <c r="AE332" i="3"/>
  <c r="AD332" i="3"/>
  <c r="AB332" i="3"/>
  <c r="Z332" i="3"/>
  <c r="H332" i="3"/>
  <c r="AL332" i="3" s="1"/>
  <c r="BJ331" i="3"/>
  <c r="BI331" i="3"/>
  <c r="AC331" i="3" s="1"/>
  <c r="BF331" i="3"/>
  <c r="BD331" i="3"/>
  <c r="AP331" i="3"/>
  <c r="AX331" i="3" s="1"/>
  <c r="AO331" i="3"/>
  <c r="AK331" i="3"/>
  <c r="AJ331" i="3"/>
  <c r="AH331" i="3"/>
  <c r="AG331" i="3"/>
  <c r="AF331" i="3"/>
  <c r="AE331" i="3"/>
  <c r="AD331" i="3"/>
  <c r="Z331" i="3"/>
  <c r="H331" i="3"/>
  <c r="AL331" i="3" s="1"/>
  <c r="BJ330" i="3"/>
  <c r="BF330" i="3"/>
  <c r="BD330" i="3"/>
  <c r="AP330" i="3"/>
  <c r="BI330" i="3" s="1"/>
  <c r="AC330" i="3" s="1"/>
  <c r="AO330" i="3"/>
  <c r="AK330" i="3"/>
  <c r="AJ330" i="3"/>
  <c r="AH330" i="3"/>
  <c r="AG330" i="3"/>
  <c r="AF330" i="3"/>
  <c r="AE330" i="3"/>
  <c r="AD330" i="3"/>
  <c r="Z330" i="3"/>
  <c r="H330" i="3"/>
  <c r="AL330" i="3" s="1"/>
  <c r="BJ329" i="3"/>
  <c r="BF329" i="3"/>
  <c r="BD329" i="3"/>
  <c r="AP329" i="3"/>
  <c r="BI329" i="3" s="1"/>
  <c r="AC329" i="3" s="1"/>
  <c r="AO329" i="3"/>
  <c r="AK329" i="3"/>
  <c r="AJ329" i="3"/>
  <c r="AH329" i="3"/>
  <c r="AG329" i="3"/>
  <c r="AF329" i="3"/>
  <c r="AE329" i="3"/>
  <c r="AD329" i="3"/>
  <c r="Z329" i="3"/>
  <c r="H329" i="3"/>
  <c r="AL329" i="3" s="1"/>
  <c r="BJ328" i="3"/>
  <c r="BF328" i="3"/>
  <c r="BD328" i="3"/>
  <c r="AW328" i="3"/>
  <c r="AP328" i="3"/>
  <c r="AO328" i="3"/>
  <c r="BH328" i="3" s="1"/>
  <c r="AB328" i="3" s="1"/>
  <c r="AK328" i="3"/>
  <c r="AJ328" i="3"/>
  <c r="AH328" i="3"/>
  <c r="AG328" i="3"/>
  <c r="AF328" i="3"/>
  <c r="AE328" i="3"/>
  <c r="AD328" i="3"/>
  <c r="Z328" i="3"/>
  <c r="H328" i="3"/>
  <c r="AL328" i="3" s="1"/>
  <c r="BJ327" i="3"/>
  <c r="BF327" i="3"/>
  <c r="BD327" i="3"/>
  <c r="AP327" i="3"/>
  <c r="AO327" i="3"/>
  <c r="AK327" i="3"/>
  <c r="AJ327" i="3"/>
  <c r="AH327" i="3"/>
  <c r="AG327" i="3"/>
  <c r="AF327" i="3"/>
  <c r="AE327" i="3"/>
  <c r="AD327" i="3"/>
  <c r="Z327" i="3"/>
  <c r="H327" i="3"/>
  <c r="AL327" i="3" s="1"/>
  <c r="BJ326" i="3"/>
  <c r="BH326" i="3"/>
  <c r="AB326" i="3" s="1"/>
  <c r="BF326" i="3"/>
  <c r="BD326" i="3"/>
  <c r="AP326" i="3"/>
  <c r="AO326" i="3"/>
  <c r="AW326" i="3" s="1"/>
  <c r="AK326" i="3"/>
  <c r="AJ326" i="3"/>
  <c r="AH326" i="3"/>
  <c r="AG326" i="3"/>
  <c r="AF326" i="3"/>
  <c r="AE326" i="3"/>
  <c r="AD326" i="3"/>
  <c r="Z326" i="3"/>
  <c r="H326" i="3"/>
  <c r="AL326" i="3" s="1"/>
  <c r="BJ325" i="3"/>
  <c r="BF325" i="3"/>
  <c r="BD325" i="3"/>
  <c r="AW325" i="3"/>
  <c r="AP325" i="3"/>
  <c r="AO325" i="3"/>
  <c r="BH325" i="3" s="1"/>
  <c r="AB325" i="3" s="1"/>
  <c r="AK325" i="3"/>
  <c r="AJ325" i="3"/>
  <c r="AH325" i="3"/>
  <c r="AG325" i="3"/>
  <c r="AF325" i="3"/>
  <c r="AE325" i="3"/>
  <c r="AD325" i="3"/>
  <c r="Z325" i="3"/>
  <c r="H325" i="3"/>
  <c r="AL325" i="3" s="1"/>
  <c r="BJ324" i="3"/>
  <c r="BF324" i="3"/>
  <c r="BD324" i="3"/>
  <c r="AW324" i="3"/>
  <c r="AP324" i="3"/>
  <c r="AO324" i="3"/>
  <c r="BH324" i="3" s="1"/>
  <c r="AB324" i="3" s="1"/>
  <c r="AK324" i="3"/>
  <c r="AJ324" i="3"/>
  <c r="AH324" i="3"/>
  <c r="AG324" i="3"/>
  <c r="AF324" i="3"/>
  <c r="AE324" i="3"/>
  <c r="AD324" i="3"/>
  <c r="Z324" i="3"/>
  <c r="H324" i="3"/>
  <c r="AL324" i="3" s="1"/>
  <c r="BJ323" i="3"/>
  <c r="BF323" i="3"/>
  <c r="BD323" i="3"/>
  <c r="AP323" i="3"/>
  <c r="AO323" i="3"/>
  <c r="AW323" i="3" s="1"/>
  <c r="AK323" i="3"/>
  <c r="AJ323" i="3"/>
  <c r="AH323" i="3"/>
  <c r="AG323" i="3"/>
  <c r="AF323" i="3"/>
  <c r="AE323" i="3"/>
  <c r="AD323" i="3"/>
  <c r="Z323" i="3"/>
  <c r="H323" i="3"/>
  <c r="AL323" i="3" s="1"/>
  <c r="BJ322" i="3"/>
  <c r="BF322" i="3"/>
  <c r="BD322" i="3"/>
  <c r="AP322" i="3"/>
  <c r="BI322" i="3" s="1"/>
  <c r="AC322" i="3" s="1"/>
  <c r="AO322" i="3"/>
  <c r="AK322" i="3"/>
  <c r="AJ322" i="3"/>
  <c r="AH322" i="3"/>
  <c r="AG322" i="3"/>
  <c r="AF322" i="3"/>
  <c r="AE322" i="3"/>
  <c r="AD322" i="3"/>
  <c r="Z322" i="3"/>
  <c r="H322" i="3"/>
  <c r="AL322" i="3" s="1"/>
  <c r="BJ321" i="3"/>
  <c r="BF321" i="3"/>
  <c r="BD321" i="3"/>
  <c r="AP321" i="3"/>
  <c r="AO321" i="3"/>
  <c r="BH321" i="3" s="1"/>
  <c r="AK321" i="3"/>
  <c r="AJ321" i="3"/>
  <c r="AH321" i="3"/>
  <c r="AG321" i="3"/>
  <c r="AF321" i="3"/>
  <c r="AE321" i="3"/>
  <c r="AD321" i="3"/>
  <c r="AB321" i="3"/>
  <c r="Z321" i="3"/>
  <c r="H321" i="3"/>
  <c r="AL321" i="3" s="1"/>
  <c r="BJ320" i="3"/>
  <c r="BF320" i="3"/>
  <c r="BD320" i="3"/>
  <c r="AP320" i="3"/>
  <c r="AX320" i="3" s="1"/>
  <c r="AO320" i="3"/>
  <c r="AK320" i="3"/>
  <c r="AJ320" i="3"/>
  <c r="AH320" i="3"/>
  <c r="AG320" i="3"/>
  <c r="AF320" i="3"/>
  <c r="AE320" i="3"/>
  <c r="AD320" i="3"/>
  <c r="Z320" i="3"/>
  <c r="H320" i="3"/>
  <c r="AL320" i="3" s="1"/>
  <c r="BJ319" i="3"/>
  <c r="BF319" i="3"/>
  <c r="BD319" i="3"/>
  <c r="AP319" i="3"/>
  <c r="AX319" i="3" s="1"/>
  <c r="AO319" i="3"/>
  <c r="AW319" i="3" s="1"/>
  <c r="AK319" i="3"/>
  <c r="AJ319" i="3"/>
  <c r="AH319" i="3"/>
  <c r="AG319" i="3"/>
  <c r="AF319" i="3"/>
  <c r="AE319" i="3"/>
  <c r="AD319" i="3"/>
  <c r="Z319" i="3"/>
  <c r="H319" i="3"/>
  <c r="AL319" i="3" s="1"/>
  <c r="BJ318" i="3"/>
  <c r="BF318" i="3"/>
  <c r="BD318" i="3"/>
  <c r="AX318" i="3"/>
  <c r="AP318" i="3"/>
  <c r="BI318" i="3" s="1"/>
  <c r="AO318" i="3"/>
  <c r="AL318" i="3"/>
  <c r="AK318" i="3"/>
  <c r="AJ318" i="3"/>
  <c r="AH318" i="3"/>
  <c r="AG318" i="3"/>
  <c r="AF318" i="3"/>
  <c r="AE318" i="3"/>
  <c r="AD318" i="3"/>
  <c r="AC318" i="3"/>
  <c r="Z318" i="3"/>
  <c r="H318" i="3"/>
  <c r="BJ317" i="3"/>
  <c r="BF317" i="3"/>
  <c r="BD317" i="3"/>
  <c r="AP317" i="3"/>
  <c r="AO317" i="3"/>
  <c r="BH317" i="3" s="1"/>
  <c r="AK317" i="3"/>
  <c r="AJ317" i="3"/>
  <c r="AH317" i="3"/>
  <c r="AG317" i="3"/>
  <c r="AF317" i="3"/>
  <c r="AE317" i="3"/>
  <c r="AD317" i="3"/>
  <c r="AB317" i="3"/>
  <c r="Z317" i="3"/>
  <c r="H317" i="3"/>
  <c r="AL317" i="3" s="1"/>
  <c r="BJ316" i="3"/>
  <c r="BI316" i="3"/>
  <c r="AC316" i="3" s="1"/>
  <c r="BF316" i="3"/>
  <c r="BD316" i="3"/>
  <c r="AP316" i="3"/>
  <c r="AX316" i="3" s="1"/>
  <c r="AO316" i="3"/>
  <c r="AK316" i="3"/>
  <c r="AJ316" i="3"/>
  <c r="AH316" i="3"/>
  <c r="AG316" i="3"/>
  <c r="AF316" i="3"/>
  <c r="AE316" i="3"/>
  <c r="AD316" i="3"/>
  <c r="Z316" i="3"/>
  <c r="H316" i="3"/>
  <c r="AL316" i="3" s="1"/>
  <c r="BJ315" i="3"/>
  <c r="BF315" i="3"/>
  <c r="BD315" i="3"/>
  <c r="AP315" i="3"/>
  <c r="AX315" i="3" s="1"/>
  <c r="AO315" i="3"/>
  <c r="AK315" i="3"/>
  <c r="AJ315" i="3"/>
  <c r="AH315" i="3"/>
  <c r="AG315" i="3"/>
  <c r="AF315" i="3"/>
  <c r="AE315" i="3"/>
  <c r="AD315" i="3"/>
  <c r="Z315" i="3"/>
  <c r="H315" i="3"/>
  <c r="BJ313" i="3"/>
  <c r="BF313" i="3"/>
  <c r="BD313" i="3"/>
  <c r="AP313" i="3"/>
  <c r="AO313" i="3"/>
  <c r="AK313" i="3"/>
  <c r="AT312" i="3" s="1"/>
  <c r="AJ313" i="3"/>
  <c r="AS312" i="3" s="1"/>
  <c r="AH313" i="3"/>
  <c r="AG313" i="3"/>
  <c r="AF313" i="3"/>
  <c r="AE313" i="3"/>
  <c r="AD313" i="3"/>
  <c r="Z313" i="3"/>
  <c r="H313" i="3"/>
  <c r="BJ311" i="3"/>
  <c r="BF311" i="3"/>
  <c r="BD311" i="3"/>
  <c r="AP311" i="3"/>
  <c r="BI311" i="3" s="1"/>
  <c r="AC311" i="3" s="1"/>
  <c r="AO311" i="3"/>
  <c r="AK311" i="3"/>
  <c r="AJ311" i="3"/>
  <c r="AH311" i="3"/>
  <c r="AG311" i="3"/>
  <c r="AF311" i="3"/>
  <c r="AE311" i="3"/>
  <c r="AD311" i="3"/>
  <c r="Z311" i="3"/>
  <c r="H311" i="3"/>
  <c r="AL311" i="3" s="1"/>
  <c r="BJ310" i="3"/>
  <c r="BF310" i="3"/>
  <c r="BD310" i="3"/>
  <c r="AW310" i="3"/>
  <c r="AV310" i="3" s="1"/>
  <c r="AP310" i="3"/>
  <c r="AX310" i="3" s="1"/>
  <c r="AO310" i="3"/>
  <c r="BH310" i="3" s="1"/>
  <c r="AL310" i="3"/>
  <c r="AK310" i="3"/>
  <c r="AJ310" i="3"/>
  <c r="AH310" i="3"/>
  <c r="AG310" i="3"/>
  <c r="AF310" i="3"/>
  <c r="AE310" i="3"/>
  <c r="AD310" i="3"/>
  <c r="AB310" i="3"/>
  <c r="Z310" i="3"/>
  <c r="H310" i="3"/>
  <c r="BJ309" i="3"/>
  <c r="BF309" i="3"/>
  <c r="BD309" i="3"/>
  <c r="AP309" i="3"/>
  <c r="AO309" i="3"/>
  <c r="AW309" i="3" s="1"/>
  <c r="AK309" i="3"/>
  <c r="AJ309" i="3"/>
  <c r="AH309" i="3"/>
  <c r="AG309" i="3"/>
  <c r="AF309" i="3"/>
  <c r="AE309" i="3"/>
  <c r="AD309" i="3"/>
  <c r="Z309" i="3"/>
  <c r="H309" i="3"/>
  <c r="AL309" i="3" s="1"/>
  <c r="BJ308" i="3"/>
  <c r="BF308" i="3"/>
  <c r="BD308" i="3"/>
  <c r="AP308" i="3"/>
  <c r="BI308" i="3" s="1"/>
  <c r="AC308" i="3" s="1"/>
  <c r="AO308" i="3"/>
  <c r="AK308" i="3"/>
  <c r="AJ308" i="3"/>
  <c r="AH308" i="3"/>
  <c r="AG308" i="3"/>
  <c r="AF308" i="3"/>
  <c r="AE308" i="3"/>
  <c r="AD308" i="3"/>
  <c r="Z308" i="3"/>
  <c r="H308" i="3"/>
  <c r="AL308" i="3" s="1"/>
  <c r="BJ307" i="3"/>
  <c r="BF307" i="3"/>
  <c r="BD307" i="3"/>
  <c r="AX307" i="3"/>
  <c r="AW307" i="3"/>
  <c r="AP307" i="3"/>
  <c r="BI307" i="3" s="1"/>
  <c r="AO307" i="3"/>
  <c r="BH307" i="3" s="1"/>
  <c r="AB307" i="3" s="1"/>
  <c r="AL307" i="3"/>
  <c r="AK307" i="3"/>
  <c r="AJ307" i="3"/>
  <c r="AH307" i="3"/>
  <c r="AG307" i="3"/>
  <c r="AF307" i="3"/>
  <c r="AE307" i="3"/>
  <c r="AD307" i="3"/>
  <c r="AC307" i="3"/>
  <c r="Z307" i="3"/>
  <c r="H307" i="3"/>
  <c r="BJ306" i="3"/>
  <c r="BF306" i="3"/>
  <c r="BD306" i="3"/>
  <c r="AP306" i="3"/>
  <c r="AX306" i="3" s="1"/>
  <c r="AO306" i="3"/>
  <c r="AK306" i="3"/>
  <c r="AJ306" i="3"/>
  <c r="AH306" i="3"/>
  <c r="AG306" i="3"/>
  <c r="AF306" i="3"/>
  <c r="AE306" i="3"/>
  <c r="AD306" i="3"/>
  <c r="Z306" i="3"/>
  <c r="H306" i="3"/>
  <c r="AL306" i="3" s="1"/>
  <c r="BJ305" i="3"/>
  <c r="BF305" i="3"/>
  <c r="BD305" i="3"/>
  <c r="AP305" i="3"/>
  <c r="AO305" i="3"/>
  <c r="AK305" i="3"/>
  <c r="AJ305" i="3"/>
  <c r="AH305" i="3"/>
  <c r="AG305" i="3"/>
  <c r="AF305" i="3"/>
  <c r="AE305" i="3"/>
  <c r="AD305" i="3"/>
  <c r="Z305" i="3"/>
  <c r="H305" i="3"/>
  <c r="BJ303" i="3"/>
  <c r="BF303" i="3"/>
  <c r="BD303" i="3"/>
  <c r="AX303" i="3"/>
  <c r="AP303" i="3"/>
  <c r="BI303" i="3" s="1"/>
  <c r="AC303" i="3" s="1"/>
  <c r="AO303" i="3"/>
  <c r="BH303" i="3" s="1"/>
  <c r="AB303" i="3" s="1"/>
  <c r="AK303" i="3"/>
  <c r="AJ303" i="3"/>
  <c r="AS302" i="3" s="1"/>
  <c r="AH303" i="3"/>
  <c r="AG303" i="3"/>
  <c r="AF303" i="3"/>
  <c r="AE303" i="3"/>
  <c r="AD303" i="3"/>
  <c r="Z303" i="3"/>
  <c r="H303" i="3"/>
  <c r="H302" i="3" s="1"/>
  <c r="AT302" i="3"/>
  <c r="BJ301" i="3"/>
  <c r="BF301" i="3"/>
  <c r="BD301" i="3"/>
  <c r="AP301" i="3"/>
  <c r="AO301" i="3"/>
  <c r="BH301" i="3" s="1"/>
  <c r="AK301" i="3"/>
  <c r="AJ301" i="3"/>
  <c r="AH301" i="3"/>
  <c r="AG301" i="3"/>
  <c r="AF301" i="3"/>
  <c r="AE301" i="3"/>
  <c r="AD301" i="3"/>
  <c r="AB301" i="3"/>
  <c r="Z301" i="3"/>
  <c r="H301" i="3"/>
  <c r="AL301" i="3" s="1"/>
  <c r="BJ300" i="3"/>
  <c r="BF300" i="3"/>
  <c r="BD300" i="3"/>
  <c r="AP300" i="3"/>
  <c r="AX300" i="3" s="1"/>
  <c r="AO300" i="3"/>
  <c r="AK300" i="3"/>
  <c r="AJ300" i="3"/>
  <c r="AH300" i="3"/>
  <c r="AG300" i="3"/>
  <c r="AF300" i="3"/>
  <c r="AE300" i="3"/>
  <c r="AD300" i="3"/>
  <c r="Z300" i="3"/>
  <c r="H300" i="3"/>
  <c r="AL300" i="3" s="1"/>
  <c r="BJ299" i="3"/>
  <c r="BF299" i="3"/>
  <c r="BD299" i="3"/>
  <c r="AP299" i="3"/>
  <c r="BI299" i="3" s="1"/>
  <c r="AC299" i="3" s="1"/>
  <c r="AO299" i="3"/>
  <c r="AW299" i="3" s="1"/>
  <c r="AK299" i="3"/>
  <c r="AJ299" i="3"/>
  <c r="AH299" i="3"/>
  <c r="AG299" i="3"/>
  <c r="AF299" i="3"/>
  <c r="AE299" i="3"/>
  <c r="AD299" i="3"/>
  <c r="Z299" i="3"/>
  <c r="H299" i="3"/>
  <c r="AL299" i="3" s="1"/>
  <c r="BJ298" i="3"/>
  <c r="BF298" i="3"/>
  <c r="BD298" i="3"/>
  <c r="AP298" i="3"/>
  <c r="BI298" i="3" s="1"/>
  <c r="AC298" i="3" s="1"/>
  <c r="AO298" i="3"/>
  <c r="AK298" i="3"/>
  <c r="AJ298" i="3"/>
  <c r="AH298" i="3"/>
  <c r="AG298" i="3"/>
  <c r="AF298" i="3"/>
  <c r="AE298" i="3"/>
  <c r="AD298" i="3"/>
  <c r="Z298" i="3"/>
  <c r="H298" i="3"/>
  <c r="AL298" i="3" s="1"/>
  <c r="BJ297" i="3"/>
  <c r="BF297" i="3"/>
  <c r="BD297" i="3"/>
  <c r="AP297" i="3"/>
  <c r="AO297" i="3"/>
  <c r="BH297" i="3" s="1"/>
  <c r="AK297" i="3"/>
  <c r="AJ297" i="3"/>
  <c r="AH297" i="3"/>
  <c r="AG297" i="3"/>
  <c r="AF297" i="3"/>
  <c r="AE297" i="3"/>
  <c r="AD297" i="3"/>
  <c r="AB297" i="3"/>
  <c r="Z297" i="3"/>
  <c r="H297" i="3"/>
  <c r="AL297" i="3" s="1"/>
  <c r="BF292" i="3"/>
  <c r="AK292" i="3"/>
  <c r="AJ292" i="3"/>
  <c r="AH292" i="3"/>
  <c r="AG292" i="3"/>
  <c r="AF292" i="3"/>
  <c r="AC292" i="3"/>
  <c r="AB292" i="3"/>
  <c r="Z292" i="3"/>
  <c r="BF291" i="3"/>
  <c r="AK291" i="3"/>
  <c r="AJ291" i="3"/>
  <c r="AH291" i="3"/>
  <c r="AG291" i="3"/>
  <c r="AF291" i="3"/>
  <c r="AC291" i="3"/>
  <c r="AB291" i="3"/>
  <c r="Z291" i="3"/>
  <c r="BF290" i="3"/>
  <c r="AK290" i="3"/>
  <c r="AJ290" i="3"/>
  <c r="AH290" i="3"/>
  <c r="AG290" i="3"/>
  <c r="AF290" i="3"/>
  <c r="AC290" i="3"/>
  <c r="AB290" i="3"/>
  <c r="Z290" i="3"/>
  <c r="BJ288" i="3"/>
  <c r="BF288" i="3"/>
  <c r="BD288" i="3"/>
  <c r="AP288" i="3"/>
  <c r="BI288" i="3" s="1"/>
  <c r="AE288" i="3" s="1"/>
  <c r="AO288" i="3"/>
  <c r="AW288" i="3" s="1"/>
  <c r="AK288" i="3"/>
  <c r="AJ288" i="3"/>
  <c r="AH288" i="3"/>
  <c r="AG288" i="3"/>
  <c r="AF288" i="3"/>
  <c r="AC288" i="3"/>
  <c r="AB288" i="3"/>
  <c r="Z288" i="3"/>
  <c r="H288" i="3"/>
  <c r="AL288" i="3" s="1"/>
  <c r="BJ287" i="3"/>
  <c r="BF287" i="3"/>
  <c r="BD287" i="3"/>
  <c r="AP287" i="3"/>
  <c r="BI287" i="3" s="1"/>
  <c r="AE287" i="3" s="1"/>
  <c r="AO287" i="3"/>
  <c r="AK287" i="3"/>
  <c r="AJ287" i="3"/>
  <c r="AH287" i="3"/>
  <c r="AG287" i="3"/>
  <c r="AF287" i="3"/>
  <c r="AC287" i="3"/>
  <c r="AB287" i="3"/>
  <c r="Z287" i="3"/>
  <c r="H287" i="3"/>
  <c r="AL287" i="3" s="1"/>
  <c r="BJ286" i="3"/>
  <c r="BF286" i="3"/>
  <c r="BD286" i="3"/>
  <c r="AP286" i="3"/>
  <c r="AO286" i="3"/>
  <c r="BH286" i="3" s="1"/>
  <c r="AD286" i="3" s="1"/>
  <c r="AK286" i="3"/>
  <c r="AJ286" i="3"/>
  <c r="AH286" i="3"/>
  <c r="AG286" i="3"/>
  <c r="AF286" i="3"/>
  <c r="AC286" i="3"/>
  <c r="AB286" i="3"/>
  <c r="Z286" i="3"/>
  <c r="H286" i="3"/>
  <c r="AL286" i="3" s="1"/>
  <c r="BJ285" i="3"/>
  <c r="BI285" i="3"/>
  <c r="AE285" i="3" s="1"/>
  <c r="BF285" i="3"/>
  <c r="BD285" i="3"/>
  <c r="AP285" i="3"/>
  <c r="AX285" i="3" s="1"/>
  <c r="AO285" i="3"/>
  <c r="BH285" i="3" s="1"/>
  <c r="AD285" i="3" s="1"/>
  <c r="AK285" i="3"/>
  <c r="AJ285" i="3"/>
  <c r="AH285" i="3"/>
  <c r="AG285" i="3"/>
  <c r="AF285" i="3"/>
  <c r="AC285" i="3"/>
  <c r="AB285" i="3"/>
  <c r="Z285" i="3"/>
  <c r="H285" i="3"/>
  <c r="AL285" i="3" s="1"/>
  <c r="BJ284" i="3"/>
  <c r="BF284" i="3"/>
  <c r="BD284" i="3"/>
  <c r="AP284" i="3"/>
  <c r="AX284" i="3" s="1"/>
  <c r="AO284" i="3"/>
  <c r="BH284" i="3" s="1"/>
  <c r="AD284" i="3" s="1"/>
  <c r="AK284" i="3"/>
  <c r="AJ284" i="3"/>
  <c r="AH284" i="3"/>
  <c r="AG284" i="3"/>
  <c r="AF284" i="3"/>
  <c r="AC284" i="3"/>
  <c r="AB284" i="3"/>
  <c r="Z284" i="3"/>
  <c r="H284" i="3"/>
  <c r="AL284" i="3" s="1"/>
  <c r="BJ283" i="3"/>
  <c r="BF283" i="3"/>
  <c r="BD283" i="3"/>
  <c r="AP283" i="3"/>
  <c r="BI283" i="3" s="1"/>
  <c r="AE283" i="3" s="1"/>
  <c r="AO283" i="3"/>
  <c r="AW283" i="3" s="1"/>
  <c r="AK283" i="3"/>
  <c r="AJ283" i="3"/>
  <c r="AH283" i="3"/>
  <c r="AG283" i="3"/>
  <c r="AF283" i="3"/>
  <c r="AC283" i="3"/>
  <c r="AB283" i="3"/>
  <c r="Z283" i="3"/>
  <c r="H283" i="3"/>
  <c r="AL283" i="3" s="1"/>
  <c r="BJ282" i="3"/>
  <c r="BH282" i="3"/>
  <c r="AD282" i="3" s="1"/>
  <c r="BF282" i="3"/>
  <c r="BD282" i="3"/>
  <c r="AW282" i="3"/>
  <c r="AP282" i="3"/>
  <c r="AO282" i="3"/>
  <c r="AK282" i="3"/>
  <c r="AJ282" i="3"/>
  <c r="AH282" i="3"/>
  <c r="AG282" i="3"/>
  <c r="AF282" i="3"/>
  <c r="AC282" i="3"/>
  <c r="AB282" i="3"/>
  <c r="Z282" i="3"/>
  <c r="H282" i="3"/>
  <c r="BJ280" i="3"/>
  <c r="BF280" i="3"/>
  <c r="BD280" i="3"/>
  <c r="AW280" i="3"/>
  <c r="AP280" i="3"/>
  <c r="BI280" i="3" s="1"/>
  <c r="AE280" i="3" s="1"/>
  <c r="AO280" i="3"/>
  <c r="BH280" i="3" s="1"/>
  <c r="AD280" i="3" s="1"/>
  <c r="AK280" i="3"/>
  <c r="AJ280" i="3"/>
  <c r="AH280" i="3"/>
  <c r="AG280" i="3"/>
  <c r="AF280" i="3"/>
  <c r="AC280" i="3"/>
  <c r="AB280" i="3"/>
  <c r="Z280" i="3"/>
  <c r="H280" i="3"/>
  <c r="AL280" i="3" s="1"/>
  <c r="BJ279" i="3"/>
  <c r="BF279" i="3"/>
  <c r="BD279" i="3"/>
  <c r="AP279" i="3"/>
  <c r="AX279" i="3" s="1"/>
  <c r="AO279" i="3"/>
  <c r="BH279" i="3" s="1"/>
  <c r="AD279" i="3" s="1"/>
  <c r="AK279" i="3"/>
  <c r="AJ279" i="3"/>
  <c r="AH279" i="3"/>
  <c r="AG279" i="3"/>
  <c r="AF279" i="3"/>
  <c r="AC279" i="3"/>
  <c r="AB279" i="3"/>
  <c r="Z279" i="3"/>
  <c r="H279" i="3"/>
  <c r="AL279" i="3" s="1"/>
  <c r="BJ278" i="3"/>
  <c r="BF278" i="3"/>
  <c r="BD278" i="3"/>
  <c r="AP278" i="3"/>
  <c r="AO278" i="3"/>
  <c r="AW278" i="3" s="1"/>
  <c r="AK278" i="3"/>
  <c r="AJ278" i="3"/>
  <c r="AH278" i="3"/>
  <c r="AG278" i="3"/>
  <c r="AF278" i="3"/>
  <c r="AC278" i="3"/>
  <c r="AB278" i="3"/>
  <c r="Z278" i="3"/>
  <c r="H278" i="3"/>
  <c r="AL278" i="3" s="1"/>
  <c r="BJ277" i="3"/>
  <c r="BF277" i="3"/>
  <c r="BD277" i="3"/>
  <c r="AP277" i="3"/>
  <c r="BI277" i="3" s="1"/>
  <c r="AE277" i="3" s="1"/>
  <c r="AO277" i="3"/>
  <c r="BH277" i="3" s="1"/>
  <c r="AD277" i="3" s="1"/>
  <c r="AK277" i="3"/>
  <c r="AJ277" i="3"/>
  <c r="AH277" i="3"/>
  <c r="AG277" i="3"/>
  <c r="AF277" i="3"/>
  <c r="AC277" i="3"/>
  <c r="AB277" i="3"/>
  <c r="Z277" i="3"/>
  <c r="H277" i="3"/>
  <c r="AL277" i="3" s="1"/>
  <c r="BJ276" i="3"/>
  <c r="BF276" i="3"/>
  <c r="BD276" i="3"/>
  <c r="AP276" i="3"/>
  <c r="BI276" i="3" s="1"/>
  <c r="AE276" i="3" s="1"/>
  <c r="AO276" i="3"/>
  <c r="BH276" i="3" s="1"/>
  <c r="AD276" i="3" s="1"/>
  <c r="AL276" i="3"/>
  <c r="AK276" i="3"/>
  <c r="AJ276" i="3"/>
  <c r="AH276" i="3"/>
  <c r="AG276" i="3"/>
  <c r="AF276" i="3"/>
  <c r="AC276" i="3"/>
  <c r="AB276" i="3"/>
  <c r="Z276" i="3"/>
  <c r="H276" i="3"/>
  <c r="BJ275" i="3"/>
  <c r="BF275" i="3"/>
  <c r="BD275" i="3"/>
  <c r="AP275" i="3"/>
  <c r="AO275" i="3"/>
  <c r="BH275" i="3" s="1"/>
  <c r="AD275" i="3" s="1"/>
  <c r="AK275" i="3"/>
  <c r="AJ275" i="3"/>
  <c r="AH275" i="3"/>
  <c r="AG275" i="3"/>
  <c r="AF275" i="3"/>
  <c r="AC275" i="3"/>
  <c r="AB275" i="3"/>
  <c r="Z275" i="3"/>
  <c r="H275" i="3"/>
  <c r="AL275" i="3" s="1"/>
  <c r="BJ274" i="3"/>
  <c r="BF274" i="3"/>
  <c r="BD274" i="3"/>
  <c r="AP274" i="3"/>
  <c r="BI274" i="3" s="1"/>
  <c r="AE274" i="3" s="1"/>
  <c r="AO274" i="3"/>
  <c r="AK274" i="3"/>
  <c r="AJ274" i="3"/>
  <c r="AH274" i="3"/>
  <c r="AG274" i="3"/>
  <c r="AF274" i="3"/>
  <c r="AC274" i="3"/>
  <c r="AB274" i="3"/>
  <c r="Z274" i="3"/>
  <c r="H274" i="3"/>
  <c r="AL274" i="3" s="1"/>
  <c r="BJ273" i="3"/>
  <c r="BF273" i="3"/>
  <c r="BD273" i="3"/>
  <c r="AP273" i="3"/>
  <c r="AO273" i="3"/>
  <c r="BH273" i="3" s="1"/>
  <c r="AD273" i="3" s="1"/>
  <c r="AK273" i="3"/>
  <c r="AJ273" i="3"/>
  <c r="AH273" i="3"/>
  <c r="AG273" i="3"/>
  <c r="AF273" i="3"/>
  <c r="AC273" i="3"/>
  <c r="AB273" i="3"/>
  <c r="Z273" i="3"/>
  <c r="H273" i="3"/>
  <c r="AL273" i="3" s="1"/>
  <c r="BJ271" i="3"/>
  <c r="BF271" i="3"/>
  <c r="BD271" i="3"/>
  <c r="AW271" i="3"/>
  <c r="AP271" i="3"/>
  <c r="BI271" i="3" s="1"/>
  <c r="AE271" i="3" s="1"/>
  <c r="AO271" i="3"/>
  <c r="BH271" i="3" s="1"/>
  <c r="AD271" i="3" s="1"/>
  <c r="AK271" i="3"/>
  <c r="AJ271" i="3"/>
  <c r="AH271" i="3"/>
  <c r="AG271" i="3"/>
  <c r="AF271" i="3"/>
  <c r="AC271" i="3"/>
  <c r="AB271" i="3"/>
  <c r="Z271" i="3"/>
  <c r="H271" i="3"/>
  <c r="AL271" i="3" s="1"/>
  <c r="BJ270" i="3"/>
  <c r="BF270" i="3"/>
  <c r="BD270" i="3"/>
  <c r="AP270" i="3"/>
  <c r="AO270" i="3"/>
  <c r="BH270" i="3" s="1"/>
  <c r="AD270" i="3" s="1"/>
  <c r="AK270" i="3"/>
  <c r="AJ270" i="3"/>
  <c r="AH270" i="3"/>
  <c r="AG270" i="3"/>
  <c r="AF270" i="3"/>
  <c r="AC270" i="3"/>
  <c r="AB270" i="3"/>
  <c r="Z270" i="3"/>
  <c r="H270" i="3"/>
  <c r="AL270" i="3" s="1"/>
  <c r="BJ269" i="3"/>
  <c r="BF269" i="3"/>
  <c r="BD269" i="3"/>
  <c r="AP269" i="3"/>
  <c r="BI269" i="3" s="1"/>
  <c r="AE269" i="3" s="1"/>
  <c r="AO269" i="3"/>
  <c r="AK269" i="3"/>
  <c r="AJ269" i="3"/>
  <c r="AH269" i="3"/>
  <c r="AG269" i="3"/>
  <c r="AF269" i="3"/>
  <c r="AC269" i="3"/>
  <c r="AB269" i="3"/>
  <c r="Z269" i="3"/>
  <c r="H269" i="3"/>
  <c r="AL269" i="3" s="1"/>
  <c r="BJ268" i="3"/>
  <c r="BF268" i="3"/>
  <c r="BD268" i="3"/>
  <c r="AX268" i="3"/>
  <c r="AP268" i="3"/>
  <c r="BI268" i="3" s="1"/>
  <c r="AE268" i="3" s="1"/>
  <c r="AO268" i="3"/>
  <c r="BH268" i="3" s="1"/>
  <c r="AD268" i="3" s="1"/>
  <c r="AK268" i="3"/>
  <c r="AJ268" i="3"/>
  <c r="AH268" i="3"/>
  <c r="AG268" i="3"/>
  <c r="AF268" i="3"/>
  <c r="AC268" i="3"/>
  <c r="AB268" i="3"/>
  <c r="Z268" i="3"/>
  <c r="H268" i="3"/>
  <c r="AL268" i="3" s="1"/>
  <c r="BJ267" i="3"/>
  <c r="BF267" i="3"/>
  <c r="BD267" i="3"/>
  <c r="AP267" i="3"/>
  <c r="BI267" i="3" s="1"/>
  <c r="AE267" i="3" s="1"/>
  <c r="AO267" i="3"/>
  <c r="BH267" i="3" s="1"/>
  <c r="AD267" i="3" s="1"/>
  <c r="AK267" i="3"/>
  <c r="AJ267" i="3"/>
  <c r="AH267" i="3"/>
  <c r="AG267" i="3"/>
  <c r="AF267" i="3"/>
  <c r="AC267" i="3"/>
  <c r="AB267" i="3"/>
  <c r="Z267" i="3"/>
  <c r="H267" i="3"/>
  <c r="AL267" i="3" s="1"/>
  <c r="BJ266" i="3"/>
  <c r="BF266" i="3"/>
  <c r="BD266" i="3"/>
  <c r="AP266" i="3"/>
  <c r="AX266" i="3" s="1"/>
  <c r="AO266" i="3"/>
  <c r="BH266" i="3" s="1"/>
  <c r="AD266" i="3" s="1"/>
  <c r="AK266" i="3"/>
  <c r="AJ266" i="3"/>
  <c r="AH266" i="3"/>
  <c r="AG266" i="3"/>
  <c r="AF266" i="3"/>
  <c r="AC266" i="3"/>
  <c r="AB266" i="3"/>
  <c r="Z266" i="3"/>
  <c r="H266" i="3"/>
  <c r="AL266" i="3" s="1"/>
  <c r="BJ265" i="3"/>
  <c r="BF265" i="3"/>
  <c r="BD265" i="3"/>
  <c r="AP265" i="3"/>
  <c r="AX265" i="3" s="1"/>
  <c r="AO265" i="3"/>
  <c r="AW265" i="3" s="1"/>
  <c r="AK265" i="3"/>
  <c r="AJ265" i="3"/>
  <c r="AH265" i="3"/>
  <c r="AG265" i="3"/>
  <c r="AF265" i="3"/>
  <c r="AC265" i="3"/>
  <c r="AB265" i="3"/>
  <c r="Z265" i="3"/>
  <c r="H265" i="3"/>
  <c r="AL265" i="3" s="1"/>
  <c r="BJ264" i="3"/>
  <c r="BF264" i="3"/>
  <c r="BD264" i="3"/>
  <c r="AP264" i="3"/>
  <c r="AO264" i="3"/>
  <c r="AK264" i="3"/>
  <c r="AJ264" i="3"/>
  <c r="AH264" i="3"/>
  <c r="AG264" i="3"/>
  <c r="AF264" i="3"/>
  <c r="AC264" i="3"/>
  <c r="AB264" i="3"/>
  <c r="Z264" i="3"/>
  <c r="H264" i="3"/>
  <c r="BJ263" i="3"/>
  <c r="BF263" i="3"/>
  <c r="BD263" i="3"/>
  <c r="AP263" i="3"/>
  <c r="BI263" i="3" s="1"/>
  <c r="AE263" i="3" s="1"/>
  <c r="AO263" i="3"/>
  <c r="AK263" i="3"/>
  <c r="AJ263" i="3"/>
  <c r="AH263" i="3"/>
  <c r="AG263" i="3"/>
  <c r="AF263" i="3"/>
  <c r="AC263" i="3"/>
  <c r="AB263" i="3"/>
  <c r="Z263" i="3"/>
  <c r="H263" i="3"/>
  <c r="AL263" i="3" s="1"/>
  <c r="BJ261" i="3"/>
  <c r="BF261" i="3"/>
  <c r="BD261" i="3"/>
  <c r="AP261" i="3"/>
  <c r="AX261" i="3" s="1"/>
  <c r="AO261" i="3"/>
  <c r="BH261" i="3" s="1"/>
  <c r="AD261" i="3" s="1"/>
  <c r="AK261" i="3"/>
  <c r="AJ261" i="3"/>
  <c r="AH261" i="3"/>
  <c r="AG261" i="3"/>
  <c r="AF261" i="3"/>
  <c r="AC261" i="3"/>
  <c r="AB261" i="3"/>
  <c r="Z261" i="3"/>
  <c r="H261" i="3"/>
  <c r="AL261" i="3" s="1"/>
  <c r="BJ260" i="3"/>
  <c r="BF260" i="3"/>
  <c r="BD260" i="3"/>
  <c r="AP260" i="3"/>
  <c r="AO260" i="3"/>
  <c r="AW260" i="3" s="1"/>
  <c r="AK260" i="3"/>
  <c r="AJ260" i="3"/>
  <c r="AH260" i="3"/>
  <c r="AG260" i="3"/>
  <c r="AF260" i="3"/>
  <c r="AC260" i="3"/>
  <c r="AB260" i="3"/>
  <c r="Z260" i="3"/>
  <c r="H260" i="3"/>
  <c r="AL260" i="3" s="1"/>
  <c r="BJ259" i="3"/>
  <c r="BF259" i="3"/>
  <c r="BD259" i="3"/>
  <c r="AX259" i="3"/>
  <c r="AP259" i="3"/>
  <c r="BI259" i="3" s="1"/>
  <c r="AE259" i="3" s="1"/>
  <c r="AO259" i="3"/>
  <c r="AK259" i="3"/>
  <c r="AJ259" i="3"/>
  <c r="AH259" i="3"/>
  <c r="AG259" i="3"/>
  <c r="AF259" i="3"/>
  <c r="AC259" i="3"/>
  <c r="AB259" i="3"/>
  <c r="Z259" i="3"/>
  <c r="H259" i="3"/>
  <c r="AL259" i="3" s="1"/>
  <c r="BJ258" i="3"/>
  <c r="BF258" i="3"/>
  <c r="BD258" i="3"/>
  <c r="AP258" i="3"/>
  <c r="BI258" i="3" s="1"/>
  <c r="AE258" i="3" s="1"/>
  <c r="AO258" i="3"/>
  <c r="AK258" i="3"/>
  <c r="AJ258" i="3"/>
  <c r="AH258" i="3"/>
  <c r="AG258" i="3"/>
  <c r="AF258" i="3"/>
  <c r="AC258" i="3"/>
  <c r="AB258" i="3"/>
  <c r="Z258" i="3"/>
  <c r="H258" i="3"/>
  <c r="AL258" i="3" s="1"/>
  <c r="BJ257" i="3"/>
  <c r="BF257" i="3"/>
  <c r="BD257" i="3"/>
  <c r="AP257" i="3"/>
  <c r="AO257" i="3"/>
  <c r="BH257" i="3" s="1"/>
  <c r="AD257" i="3" s="1"/>
  <c r="AK257" i="3"/>
  <c r="AJ257" i="3"/>
  <c r="AH257" i="3"/>
  <c r="AG257" i="3"/>
  <c r="AF257" i="3"/>
  <c r="AC257" i="3"/>
  <c r="AB257" i="3"/>
  <c r="Z257" i="3"/>
  <c r="H257" i="3"/>
  <c r="AL257" i="3" s="1"/>
  <c r="BJ256" i="3"/>
  <c r="BF256" i="3"/>
  <c r="BD256" i="3"/>
  <c r="AP256" i="3"/>
  <c r="AO256" i="3"/>
  <c r="AK256" i="3"/>
  <c r="AJ256" i="3"/>
  <c r="AH256" i="3"/>
  <c r="AG256" i="3"/>
  <c r="AF256" i="3"/>
  <c r="AC256" i="3"/>
  <c r="AB256" i="3"/>
  <c r="Z256" i="3"/>
  <c r="H256" i="3"/>
  <c r="AL256" i="3" s="1"/>
  <c r="BJ255" i="3"/>
  <c r="BF255" i="3"/>
  <c r="BD255" i="3"/>
  <c r="AP255" i="3"/>
  <c r="AO255" i="3"/>
  <c r="BH255" i="3" s="1"/>
  <c r="AD255" i="3" s="1"/>
  <c r="AK255" i="3"/>
  <c r="AJ255" i="3"/>
  <c r="AH255" i="3"/>
  <c r="AG255" i="3"/>
  <c r="AF255" i="3"/>
  <c r="AC255" i="3"/>
  <c r="AB255" i="3"/>
  <c r="Z255" i="3"/>
  <c r="H255" i="3"/>
  <c r="AL255" i="3" s="1"/>
  <c r="BJ254" i="3"/>
  <c r="BF254" i="3"/>
  <c r="BD254" i="3"/>
  <c r="AP254" i="3"/>
  <c r="BI254" i="3" s="1"/>
  <c r="AE254" i="3" s="1"/>
  <c r="AO254" i="3"/>
  <c r="AL254" i="3"/>
  <c r="AK254" i="3"/>
  <c r="AJ254" i="3"/>
  <c r="AH254" i="3"/>
  <c r="AG254" i="3"/>
  <c r="AF254" i="3"/>
  <c r="AC254" i="3"/>
  <c r="AB254" i="3"/>
  <c r="Z254" i="3"/>
  <c r="H254" i="3"/>
  <c r="BJ253" i="3"/>
  <c r="BF253" i="3"/>
  <c r="BD253" i="3"/>
  <c r="AP253" i="3"/>
  <c r="AO253" i="3"/>
  <c r="BH253" i="3" s="1"/>
  <c r="AD253" i="3" s="1"/>
  <c r="AK253" i="3"/>
  <c r="AJ253" i="3"/>
  <c r="AH253" i="3"/>
  <c r="AG253" i="3"/>
  <c r="AF253" i="3"/>
  <c r="AC253" i="3"/>
  <c r="AB253" i="3"/>
  <c r="Z253" i="3"/>
  <c r="H253" i="3"/>
  <c r="AL253" i="3" s="1"/>
  <c r="BJ252" i="3"/>
  <c r="BF252" i="3"/>
  <c r="BD252" i="3"/>
  <c r="AP252" i="3"/>
  <c r="BI252" i="3" s="1"/>
  <c r="AE252" i="3" s="1"/>
  <c r="AO252" i="3"/>
  <c r="AW252" i="3" s="1"/>
  <c r="AK252" i="3"/>
  <c r="AJ252" i="3"/>
  <c r="AH252" i="3"/>
  <c r="AG252" i="3"/>
  <c r="AF252" i="3"/>
  <c r="AC252" i="3"/>
  <c r="AB252" i="3"/>
  <c r="Z252" i="3"/>
  <c r="H252" i="3"/>
  <c r="AL252" i="3" s="1"/>
  <c r="BJ251" i="3"/>
  <c r="BF251" i="3"/>
  <c r="BD251" i="3"/>
  <c r="AP251" i="3"/>
  <c r="AO251" i="3"/>
  <c r="AK251" i="3"/>
  <c r="AJ251" i="3"/>
  <c r="AH251" i="3"/>
  <c r="AG251" i="3"/>
  <c r="AF251" i="3"/>
  <c r="AC251" i="3"/>
  <c r="AB251" i="3"/>
  <c r="Z251" i="3"/>
  <c r="H251" i="3"/>
  <c r="AL251" i="3" s="1"/>
  <c r="BJ250" i="3"/>
  <c r="BF250" i="3"/>
  <c r="BD250" i="3"/>
  <c r="AP250" i="3"/>
  <c r="BI250" i="3" s="1"/>
  <c r="AE250" i="3" s="1"/>
  <c r="AO250" i="3"/>
  <c r="AK250" i="3"/>
  <c r="AJ250" i="3"/>
  <c r="AH250" i="3"/>
  <c r="AG250" i="3"/>
  <c r="AF250" i="3"/>
  <c r="AC250" i="3"/>
  <c r="AB250" i="3"/>
  <c r="Z250" i="3"/>
  <c r="H250" i="3"/>
  <c r="AL250" i="3" s="1"/>
  <c r="BJ249" i="3"/>
  <c r="BF249" i="3"/>
  <c r="BD249" i="3"/>
  <c r="AP249" i="3"/>
  <c r="AO249" i="3"/>
  <c r="BH249" i="3" s="1"/>
  <c r="AD249" i="3" s="1"/>
  <c r="AK249" i="3"/>
  <c r="AJ249" i="3"/>
  <c r="AH249" i="3"/>
  <c r="AG249" i="3"/>
  <c r="AF249" i="3"/>
  <c r="AC249" i="3"/>
  <c r="AB249" i="3"/>
  <c r="Z249" i="3"/>
  <c r="H249" i="3"/>
  <c r="AL249" i="3" s="1"/>
  <c r="BJ248" i="3"/>
  <c r="BF248" i="3"/>
  <c r="BD248" i="3"/>
  <c r="AP248" i="3"/>
  <c r="AO248" i="3"/>
  <c r="AK248" i="3"/>
  <c r="AJ248" i="3"/>
  <c r="AH248" i="3"/>
  <c r="AG248" i="3"/>
  <c r="AF248" i="3"/>
  <c r="AC248" i="3"/>
  <c r="AB248" i="3"/>
  <c r="Z248" i="3"/>
  <c r="H248" i="3"/>
  <c r="AL248" i="3" s="1"/>
  <c r="BJ246" i="3"/>
  <c r="BF246" i="3"/>
  <c r="BD246" i="3"/>
  <c r="AP246" i="3"/>
  <c r="BI246" i="3" s="1"/>
  <c r="AE246" i="3" s="1"/>
  <c r="AO246" i="3"/>
  <c r="AK246" i="3"/>
  <c r="AJ246" i="3"/>
  <c r="AH246" i="3"/>
  <c r="AG246" i="3"/>
  <c r="AF246" i="3"/>
  <c r="AC246" i="3"/>
  <c r="AB246" i="3"/>
  <c r="Z246" i="3"/>
  <c r="H246" i="3"/>
  <c r="AL246" i="3" s="1"/>
  <c r="BJ245" i="3"/>
  <c r="BF245" i="3"/>
  <c r="BD245" i="3"/>
  <c r="AP245" i="3"/>
  <c r="BI245" i="3" s="1"/>
  <c r="AE245" i="3" s="1"/>
  <c r="AO245" i="3"/>
  <c r="BH245" i="3" s="1"/>
  <c r="AD245" i="3" s="1"/>
  <c r="AK245" i="3"/>
  <c r="AJ245" i="3"/>
  <c r="AH245" i="3"/>
  <c r="AG245" i="3"/>
  <c r="AF245" i="3"/>
  <c r="AC245" i="3"/>
  <c r="AB245" i="3"/>
  <c r="Z245" i="3"/>
  <c r="H245" i="3"/>
  <c r="AL245" i="3" s="1"/>
  <c r="BJ244" i="3"/>
  <c r="BF244" i="3"/>
  <c r="BD244" i="3"/>
  <c r="AP244" i="3"/>
  <c r="AO244" i="3"/>
  <c r="BH244" i="3" s="1"/>
  <c r="AD244" i="3" s="1"/>
  <c r="AK244" i="3"/>
  <c r="AJ244" i="3"/>
  <c r="AH244" i="3"/>
  <c r="AG244" i="3"/>
  <c r="AF244" i="3"/>
  <c r="AC244" i="3"/>
  <c r="AB244" i="3"/>
  <c r="Z244" i="3"/>
  <c r="H244" i="3"/>
  <c r="AL244" i="3" s="1"/>
  <c r="BJ243" i="3"/>
  <c r="BF243" i="3"/>
  <c r="BD243" i="3"/>
  <c r="AP243" i="3"/>
  <c r="BI243" i="3" s="1"/>
  <c r="AE243" i="3" s="1"/>
  <c r="AO243" i="3"/>
  <c r="AW243" i="3" s="1"/>
  <c r="AK243" i="3"/>
  <c r="AJ243" i="3"/>
  <c r="AH243" i="3"/>
  <c r="AG243" i="3"/>
  <c r="AF243" i="3"/>
  <c r="AC243" i="3"/>
  <c r="AB243" i="3"/>
  <c r="Z243" i="3"/>
  <c r="H243" i="3"/>
  <c r="AL243" i="3" s="1"/>
  <c r="BJ242" i="3"/>
  <c r="BF242" i="3"/>
  <c r="BD242" i="3"/>
  <c r="AX242" i="3"/>
  <c r="AP242" i="3"/>
  <c r="BI242" i="3" s="1"/>
  <c r="AE242" i="3" s="1"/>
  <c r="AO242" i="3"/>
  <c r="BH242" i="3" s="1"/>
  <c r="AK242" i="3"/>
  <c r="AJ242" i="3"/>
  <c r="AH242" i="3"/>
  <c r="AG242" i="3"/>
  <c r="AF242" i="3"/>
  <c r="AD242" i="3"/>
  <c r="AC242" i="3"/>
  <c r="AB242" i="3"/>
  <c r="Z242" i="3"/>
  <c r="H242" i="3"/>
  <c r="AL242" i="3" s="1"/>
  <c r="BJ241" i="3"/>
  <c r="BF241" i="3"/>
  <c r="BD241" i="3"/>
  <c r="AW241" i="3"/>
  <c r="AP241" i="3"/>
  <c r="BI241" i="3" s="1"/>
  <c r="AE241" i="3" s="1"/>
  <c r="AO241" i="3"/>
  <c r="BH241" i="3" s="1"/>
  <c r="AD241" i="3" s="1"/>
  <c r="AK241" i="3"/>
  <c r="AJ241" i="3"/>
  <c r="AH241" i="3"/>
  <c r="AG241" i="3"/>
  <c r="AF241" i="3"/>
  <c r="AC241" i="3"/>
  <c r="AB241" i="3"/>
  <c r="Z241" i="3"/>
  <c r="H241" i="3"/>
  <c r="AL241" i="3" s="1"/>
  <c r="BJ240" i="3"/>
  <c r="BF240" i="3"/>
  <c r="BD240" i="3"/>
  <c r="AP240" i="3"/>
  <c r="AO240" i="3"/>
  <c r="BH240" i="3" s="1"/>
  <c r="AD240" i="3" s="1"/>
  <c r="AK240" i="3"/>
  <c r="AJ240" i="3"/>
  <c r="AH240" i="3"/>
  <c r="AG240" i="3"/>
  <c r="AF240" i="3"/>
  <c r="AC240" i="3"/>
  <c r="AB240" i="3"/>
  <c r="Z240" i="3"/>
  <c r="H240" i="3"/>
  <c r="AL240" i="3" s="1"/>
  <c r="BJ239" i="3"/>
  <c r="BI239" i="3"/>
  <c r="AE239" i="3" s="1"/>
  <c r="BF239" i="3"/>
  <c r="BD239" i="3"/>
  <c r="AP239" i="3"/>
  <c r="AX239" i="3" s="1"/>
  <c r="AO239" i="3"/>
  <c r="AW239" i="3" s="1"/>
  <c r="AK239" i="3"/>
  <c r="AJ239" i="3"/>
  <c r="AH239" i="3"/>
  <c r="AG239" i="3"/>
  <c r="AF239" i="3"/>
  <c r="AC239" i="3"/>
  <c r="AB239" i="3"/>
  <c r="Z239" i="3"/>
  <c r="H239" i="3"/>
  <c r="AL239" i="3" s="1"/>
  <c r="BJ238" i="3"/>
  <c r="BF238" i="3"/>
  <c r="BD238" i="3"/>
  <c r="AP238" i="3"/>
  <c r="BI238" i="3" s="1"/>
  <c r="AE238" i="3" s="1"/>
  <c r="AO238" i="3"/>
  <c r="BH238" i="3" s="1"/>
  <c r="AD238" i="3" s="1"/>
  <c r="AK238" i="3"/>
  <c r="AJ238" i="3"/>
  <c r="AH238" i="3"/>
  <c r="AG238" i="3"/>
  <c r="AF238" i="3"/>
  <c r="AC238" i="3"/>
  <c r="AB238" i="3"/>
  <c r="Z238" i="3"/>
  <c r="H238" i="3"/>
  <c r="AL238" i="3" s="1"/>
  <c r="BJ237" i="3"/>
  <c r="BF237" i="3"/>
  <c r="BD237" i="3"/>
  <c r="AP237" i="3"/>
  <c r="BI237" i="3" s="1"/>
  <c r="AE237" i="3" s="1"/>
  <c r="AO237" i="3"/>
  <c r="BH237" i="3" s="1"/>
  <c r="AD237" i="3" s="1"/>
  <c r="AK237" i="3"/>
  <c r="AJ237" i="3"/>
  <c r="AH237" i="3"/>
  <c r="AG237" i="3"/>
  <c r="AF237" i="3"/>
  <c r="AC237" i="3"/>
  <c r="AB237" i="3"/>
  <c r="Z237" i="3"/>
  <c r="H237" i="3"/>
  <c r="AL237" i="3" s="1"/>
  <c r="BJ236" i="3"/>
  <c r="BF236" i="3"/>
  <c r="BD236" i="3"/>
  <c r="AP236" i="3"/>
  <c r="AO236" i="3"/>
  <c r="BH236" i="3" s="1"/>
  <c r="AD236" i="3" s="1"/>
  <c r="AK236" i="3"/>
  <c r="AJ236" i="3"/>
  <c r="AH236" i="3"/>
  <c r="AG236" i="3"/>
  <c r="AF236" i="3"/>
  <c r="AC236" i="3"/>
  <c r="AB236" i="3"/>
  <c r="Z236" i="3"/>
  <c r="H236" i="3"/>
  <c r="AL236" i="3" s="1"/>
  <c r="BJ235" i="3"/>
  <c r="BF235" i="3"/>
  <c r="BD235" i="3"/>
  <c r="AP235" i="3"/>
  <c r="BI235" i="3" s="1"/>
  <c r="AE235" i="3" s="1"/>
  <c r="AO235" i="3"/>
  <c r="AW235" i="3" s="1"/>
  <c r="AK235" i="3"/>
  <c r="AJ235" i="3"/>
  <c r="AH235" i="3"/>
  <c r="AG235" i="3"/>
  <c r="AF235" i="3"/>
  <c r="AC235" i="3"/>
  <c r="AB235" i="3"/>
  <c r="Z235" i="3"/>
  <c r="H235" i="3"/>
  <c r="AL235" i="3" s="1"/>
  <c r="BJ233" i="3"/>
  <c r="BF233" i="3"/>
  <c r="BD233" i="3"/>
  <c r="AP233" i="3"/>
  <c r="BI233" i="3" s="1"/>
  <c r="AE233" i="3" s="1"/>
  <c r="AO233" i="3"/>
  <c r="BH233" i="3" s="1"/>
  <c r="AD233" i="3" s="1"/>
  <c r="AK233" i="3"/>
  <c r="AJ233" i="3"/>
  <c r="AH233" i="3"/>
  <c r="AG233" i="3"/>
  <c r="AF233" i="3"/>
  <c r="AC233" i="3"/>
  <c r="AB233" i="3"/>
  <c r="Z233" i="3"/>
  <c r="H233" i="3"/>
  <c r="BJ232" i="3"/>
  <c r="BF232" i="3"/>
  <c r="BD232" i="3"/>
  <c r="AP232" i="3"/>
  <c r="BI232" i="3" s="1"/>
  <c r="AE232" i="3" s="1"/>
  <c r="AO232" i="3"/>
  <c r="BH232" i="3" s="1"/>
  <c r="AD232" i="3" s="1"/>
  <c r="AK232" i="3"/>
  <c r="AJ232" i="3"/>
  <c r="AH232" i="3"/>
  <c r="AG232" i="3"/>
  <c r="AF232" i="3"/>
  <c r="AC232" i="3"/>
  <c r="AB232" i="3"/>
  <c r="Z232" i="3"/>
  <c r="H232" i="3"/>
  <c r="AL232" i="3" s="1"/>
  <c r="BJ231" i="3"/>
  <c r="BF231" i="3"/>
  <c r="BD231" i="3"/>
  <c r="AP231" i="3"/>
  <c r="AO231" i="3"/>
  <c r="BH231" i="3" s="1"/>
  <c r="AD231" i="3" s="1"/>
  <c r="AK231" i="3"/>
  <c r="AJ231" i="3"/>
  <c r="AH231" i="3"/>
  <c r="AG231" i="3"/>
  <c r="AF231" i="3"/>
  <c r="AC231" i="3"/>
  <c r="AB231" i="3"/>
  <c r="Z231" i="3"/>
  <c r="H231" i="3"/>
  <c r="AL231" i="3" s="1"/>
  <c r="BJ230" i="3"/>
  <c r="BF230" i="3"/>
  <c r="BD230" i="3"/>
  <c r="AP230" i="3"/>
  <c r="AO230" i="3"/>
  <c r="AW230" i="3" s="1"/>
  <c r="AK230" i="3"/>
  <c r="AJ230" i="3"/>
  <c r="AH230" i="3"/>
  <c r="AG230" i="3"/>
  <c r="AF230" i="3"/>
  <c r="AC230" i="3"/>
  <c r="AB230" i="3"/>
  <c r="Z230" i="3"/>
  <c r="H230" i="3"/>
  <c r="AL230" i="3" s="1"/>
  <c r="BJ229" i="3"/>
  <c r="BF229" i="3"/>
  <c r="BD229" i="3"/>
  <c r="AP229" i="3"/>
  <c r="AO229" i="3"/>
  <c r="BH229" i="3" s="1"/>
  <c r="AD229" i="3" s="1"/>
  <c r="AL229" i="3"/>
  <c r="AK229" i="3"/>
  <c r="AJ229" i="3"/>
  <c r="AH229" i="3"/>
  <c r="AG229" i="3"/>
  <c r="AF229" i="3"/>
  <c r="AC229" i="3"/>
  <c r="AB229" i="3"/>
  <c r="Z229" i="3"/>
  <c r="H229" i="3"/>
  <c r="BJ228" i="3"/>
  <c r="BF228" i="3"/>
  <c r="BD228" i="3"/>
  <c r="AP228" i="3"/>
  <c r="BI228" i="3" s="1"/>
  <c r="AE228" i="3" s="1"/>
  <c r="AO228" i="3"/>
  <c r="BH228" i="3" s="1"/>
  <c r="AD228" i="3" s="1"/>
  <c r="AL228" i="3"/>
  <c r="AK228" i="3"/>
  <c r="AJ228" i="3"/>
  <c r="AH228" i="3"/>
  <c r="AG228" i="3"/>
  <c r="AF228" i="3"/>
  <c r="AC228" i="3"/>
  <c r="AB228" i="3"/>
  <c r="Z228" i="3"/>
  <c r="H228" i="3"/>
  <c r="BJ227" i="3"/>
  <c r="BF227" i="3"/>
  <c r="BD227" i="3"/>
  <c r="AP227" i="3"/>
  <c r="AO227" i="3"/>
  <c r="BH227" i="3" s="1"/>
  <c r="AD227" i="3" s="1"/>
  <c r="AK227" i="3"/>
  <c r="AJ227" i="3"/>
  <c r="AH227" i="3"/>
  <c r="AG227" i="3"/>
  <c r="AF227" i="3"/>
  <c r="AC227" i="3"/>
  <c r="AB227" i="3"/>
  <c r="Z227" i="3"/>
  <c r="H227" i="3"/>
  <c r="AL227" i="3" s="1"/>
  <c r="BJ226" i="3"/>
  <c r="BF226" i="3"/>
  <c r="BD226" i="3"/>
  <c r="AP226" i="3"/>
  <c r="BI226" i="3" s="1"/>
  <c r="AE226" i="3" s="1"/>
  <c r="AO226" i="3"/>
  <c r="AK226" i="3"/>
  <c r="AJ226" i="3"/>
  <c r="AH226" i="3"/>
  <c r="AG226" i="3"/>
  <c r="AF226" i="3"/>
  <c r="AC226" i="3"/>
  <c r="AB226" i="3"/>
  <c r="Z226" i="3"/>
  <c r="H226" i="3"/>
  <c r="AL226" i="3" s="1"/>
  <c r="BJ225" i="3"/>
  <c r="BF225" i="3"/>
  <c r="BD225" i="3"/>
  <c r="AX225" i="3"/>
  <c r="AP225" i="3"/>
  <c r="BI225" i="3" s="1"/>
  <c r="AE225" i="3" s="1"/>
  <c r="AO225" i="3"/>
  <c r="BH225" i="3" s="1"/>
  <c r="AD225" i="3" s="1"/>
  <c r="AK225" i="3"/>
  <c r="AJ225" i="3"/>
  <c r="AH225" i="3"/>
  <c r="AG225" i="3"/>
  <c r="AF225" i="3"/>
  <c r="AC225" i="3"/>
  <c r="AB225" i="3"/>
  <c r="Z225" i="3"/>
  <c r="H225" i="3"/>
  <c r="AL225" i="3" s="1"/>
  <c r="BJ223" i="3"/>
  <c r="BF223" i="3"/>
  <c r="BD223" i="3"/>
  <c r="AP223" i="3"/>
  <c r="BI223" i="3" s="1"/>
  <c r="AE223" i="3" s="1"/>
  <c r="AO223" i="3"/>
  <c r="BH223" i="3" s="1"/>
  <c r="AD223" i="3" s="1"/>
  <c r="AK223" i="3"/>
  <c r="AJ223" i="3"/>
  <c r="AH223" i="3"/>
  <c r="AG223" i="3"/>
  <c r="AF223" i="3"/>
  <c r="AC223" i="3"/>
  <c r="AB223" i="3"/>
  <c r="Z223" i="3"/>
  <c r="H223" i="3"/>
  <c r="AL223" i="3" s="1"/>
  <c r="BJ222" i="3"/>
  <c r="BF222" i="3"/>
  <c r="BD222" i="3"/>
  <c r="AP222" i="3"/>
  <c r="AO222" i="3"/>
  <c r="BH222" i="3" s="1"/>
  <c r="AD222" i="3" s="1"/>
  <c r="AK222" i="3"/>
  <c r="AJ222" i="3"/>
  <c r="AH222" i="3"/>
  <c r="AG222" i="3"/>
  <c r="AF222" i="3"/>
  <c r="AC222" i="3"/>
  <c r="AB222" i="3"/>
  <c r="Z222" i="3"/>
  <c r="H222" i="3"/>
  <c r="AL222" i="3" s="1"/>
  <c r="BJ221" i="3"/>
  <c r="BF221" i="3"/>
  <c r="BD221" i="3"/>
  <c r="AP221" i="3"/>
  <c r="BI221" i="3" s="1"/>
  <c r="AE221" i="3" s="1"/>
  <c r="AO221" i="3"/>
  <c r="AW221" i="3" s="1"/>
  <c r="AK221" i="3"/>
  <c r="AJ221" i="3"/>
  <c r="AH221" i="3"/>
  <c r="AG221" i="3"/>
  <c r="AF221" i="3"/>
  <c r="AC221" i="3"/>
  <c r="AB221" i="3"/>
  <c r="Z221" i="3"/>
  <c r="H221" i="3"/>
  <c r="AL221" i="3" s="1"/>
  <c r="BJ220" i="3"/>
  <c r="BH220" i="3"/>
  <c r="AD220" i="3" s="1"/>
  <c r="BF220" i="3"/>
  <c r="BD220" i="3"/>
  <c r="AX220" i="3"/>
  <c r="AW220" i="3"/>
  <c r="AP220" i="3"/>
  <c r="BI220" i="3" s="1"/>
  <c r="AE220" i="3" s="1"/>
  <c r="AO220" i="3"/>
  <c r="AL220" i="3"/>
  <c r="AK220" i="3"/>
  <c r="AJ220" i="3"/>
  <c r="AH220" i="3"/>
  <c r="AG220" i="3"/>
  <c r="AF220" i="3"/>
  <c r="AC220" i="3"/>
  <c r="AB220" i="3"/>
  <c r="Z220" i="3"/>
  <c r="H220" i="3"/>
  <c r="BJ219" i="3"/>
  <c r="BF219" i="3"/>
  <c r="BD219" i="3"/>
  <c r="AP219" i="3"/>
  <c r="BI219" i="3" s="1"/>
  <c r="AE219" i="3" s="1"/>
  <c r="AO219" i="3"/>
  <c r="BH219" i="3" s="1"/>
  <c r="AD219" i="3" s="1"/>
  <c r="AK219" i="3"/>
  <c r="AJ219" i="3"/>
  <c r="AH219" i="3"/>
  <c r="AG219" i="3"/>
  <c r="AF219" i="3"/>
  <c r="AC219" i="3"/>
  <c r="AB219" i="3"/>
  <c r="Z219" i="3"/>
  <c r="H219" i="3"/>
  <c r="AL219" i="3" s="1"/>
  <c r="BJ218" i="3"/>
  <c r="BF218" i="3"/>
  <c r="BD218" i="3"/>
  <c r="AP218" i="3"/>
  <c r="AO218" i="3"/>
  <c r="BH218" i="3" s="1"/>
  <c r="AD218" i="3" s="1"/>
  <c r="AK218" i="3"/>
  <c r="AJ218" i="3"/>
  <c r="AH218" i="3"/>
  <c r="AG218" i="3"/>
  <c r="AF218" i="3"/>
  <c r="AC218" i="3"/>
  <c r="AB218" i="3"/>
  <c r="Z218" i="3"/>
  <c r="H218" i="3"/>
  <c r="AL218" i="3" s="1"/>
  <c r="BJ217" i="3"/>
  <c r="BF217" i="3"/>
  <c r="BD217" i="3"/>
  <c r="AX217" i="3"/>
  <c r="AP217" i="3"/>
  <c r="BI217" i="3" s="1"/>
  <c r="AO217" i="3"/>
  <c r="AK217" i="3"/>
  <c r="AJ217" i="3"/>
  <c r="AH217" i="3"/>
  <c r="AG217" i="3"/>
  <c r="AF217" i="3"/>
  <c r="AE217" i="3"/>
  <c r="AC217" i="3"/>
  <c r="AB217" i="3"/>
  <c r="Z217" i="3"/>
  <c r="H217" i="3"/>
  <c r="AL217" i="3" s="1"/>
  <c r="BJ216" i="3"/>
  <c r="BF216" i="3"/>
  <c r="BD216" i="3"/>
  <c r="AX216" i="3"/>
  <c r="AP216" i="3"/>
  <c r="BI216" i="3" s="1"/>
  <c r="AE216" i="3" s="1"/>
  <c r="AO216" i="3"/>
  <c r="BH216" i="3" s="1"/>
  <c r="AD216" i="3" s="1"/>
  <c r="AK216" i="3"/>
  <c r="AJ216" i="3"/>
  <c r="AH216" i="3"/>
  <c r="AG216" i="3"/>
  <c r="AF216" i="3"/>
  <c r="AC216" i="3"/>
  <c r="AB216" i="3"/>
  <c r="Z216" i="3"/>
  <c r="H216" i="3"/>
  <c r="BJ215" i="3"/>
  <c r="BF215" i="3"/>
  <c r="BD215" i="3"/>
  <c r="AP215" i="3"/>
  <c r="BI215" i="3" s="1"/>
  <c r="AE215" i="3" s="1"/>
  <c r="AO215" i="3"/>
  <c r="BH215" i="3" s="1"/>
  <c r="AD215" i="3" s="1"/>
  <c r="AK215" i="3"/>
  <c r="AJ215" i="3"/>
  <c r="AH215" i="3"/>
  <c r="AG215" i="3"/>
  <c r="AF215" i="3"/>
  <c r="AC215" i="3"/>
  <c r="AB215" i="3"/>
  <c r="Z215" i="3"/>
  <c r="H215" i="3"/>
  <c r="AL215" i="3" s="1"/>
  <c r="BJ214" i="3"/>
  <c r="BF214" i="3"/>
  <c r="BD214" i="3"/>
  <c r="AP214" i="3"/>
  <c r="AO214" i="3"/>
  <c r="BH214" i="3" s="1"/>
  <c r="AD214" i="3" s="1"/>
  <c r="AK214" i="3"/>
  <c r="AJ214" i="3"/>
  <c r="AH214" i="3"/>
  <c r="AG214" i="3"/>
  <c r="AF214" i="3"/>
  <c r="AC214" i="3"/>
  <c r="AB214" i="3"/>
  <c r="Z214" i="3"/>
  <c r="H214" i="3"/>
  <c r="AL214" i="3" s="1"/>
  <c r="BJ213" i="3"/>
  <c r="BF213" i="3"/>
  <c r="BD213" i="3"/>
  <c r="AP213" i="3"/>
  <c r="AX213" i="3" s="1"/>
  <c r="AO213" i="3"/>
  <c r="AW213" i="3" s="1"/>
  <c r="AK213" i="3"/>
  <c r="AJ213" i="3"/>
  <c r="AH213" i="3"/>
  <c r="AG213" i="3"/>
  <c r="AF213" i="3"/>
  <c r="AC213" i="3"/>
  <c r="AB213" i="3"/>
  <c r="Z213" i="3"/>
  <c r="H213" i="3"/>
  <c r="AL213" i="3" s="1"/>
  <c r="BJ211" i="3"/>
  <c r="BF211" i="3"/>
  <c r="BD211" i="3"/>
  <c r="AP211" i="3"/>
  <c r="BI211" i="3" s="1"/>
  <c r="AE211" i="3" s="1"/>
  <c r="AO211" i="3"/>
  <c r="BH211" i="3" s="1"/>
  <c r="AD211" i="3" s="1"/>
  <c r="AK211" i="3"/>
  <c r="AJ211" i="3"/>
  <c r="AH211" i="3"/>
  <c r="AG211" i="3"/>
  <c r="AF211" i="3"/>
  <c r="AC211" i="3"/>
  <c r="AB211" i="3"/>
  <c r="Z211" i="3"/>
  <c r="H211" i="3"/>
  <c r="AL211" i="3" s="1"/>
  <c r="BJ210" i="3"/>
  <c r="BF210" i="3"/>
  <c r="BD210" i="3"/>
  <c r="AP210" i="3"/>
  <c r="BI210" i="3" s="1"/>
  <c r="AE210" i="3" s="1"/>
  <c r="AO210" i="3"/>
  <c r="BH210" i="3" s="1"/>
  <c r="AD210" i="3" s="1"/>
  <c r="AK210" i="3"/>
  <c r="AJ210" i="3"/>
  <c r="AH210" i="3"/>
  <c r="AG210" i="3"/>
  <c r="AF210" i="3"/>
  <c r="AC210" i="3"/>
  <c r="AB210" i="3"/>
  <c r="Z210" i="3"/>
  <c r="H210" i="3"/>
  <c r="AL210" i="3" s="1"/>
  <c r="BJ209" i="3"/>
  <c r="BF209" i="3"/>
  <c r="BD209" i="3"/>
  <c r="AP209" i="3"/>
  <c r="AO209" i="3"/>
  <c r="BH209" i="3" s="1"/>
  <c r="AD209" i="3" s="1"/>
  <c r="AK209" i="3"/>
  <c r="AJ209" i="3"/>
  <c r="AH209" i="3"/>
  <c r="AG209" i="3"/>
  <c r="AF209" i="3"/>
  <c r="AC209" i="3"/>
  <c r="AB209" i="3"/>
  <c r="Z209" i="3"/>
  <c r="H209" i="3"/>
  <c r="AL209" i="3" s="1"/>
  <c r="BJ208" i="3"/>
  <c r="BF208" i="3"/>
  <c r="BD208" i="3"/>
  <c r="AP208" i="3"/>
  <c r="BI208" i="3" s="1"/>
  <c r="AE208" i="3" s="1"/>
  <c r="AO208" i="3"/>
  <c r="AW208" i="3" s="1"/>
  <c r="AK208" i="3"/>
  <c r="AJ208" i="3"/>
  <c r="AH208" i="3"/>
  <c r="AG208" i="3"/>
  <c r="AF208" i="3"/>
  <c r="AC208" i="3"/>
  <c r="AB208" i="3"/>
  <c r="Z208" i="3"/>
  <c r="H208" i="3"/>
  <c r="AL208" i="3" s="1"/>
  <c r="BJ207" i="3"/>
  <c r="BF207" i="3"/>
  <c r="BD207" i="3"/>
  <c r="AP207" i="3"/>
  <c r="AO207" i="3"/>
  <c r="BH207" i="3" s="1"/>
  <c r="AD207" i="3" s="1"/>
  <c r="AL207" i="3"/>
  <c r="AK207" i="3"/>
  <c r="AJ207" i="3"/>
  <c r="AH207" i="3"/>
  <c r="AG207" i="3"/>
  <c r="AF207" i="3"/>
  <c r="AC207" i="3"/>
  <c r="AB207" i="3"/>
  <c r="Z207" i="3"/>
  <c r="H207" i="3"/>
  <c r="BJ206" i="3"/>
  <c r="BF206" i="3"/>
  <c r="BD206" i="3"/>
  <c r="AP206" i="3"/>
  <c r="BI206" i="3" s="1"/>
  <c r="AE206" i="3" s="1"/>
  <c r="AO206" i="3"/>
  <c r="BH206" i="3" s="1"/>
  <c r="AD206" i="3" s="1"/>
  <c r="AK206" i="3"/>
  <c r="AJ206" i="3"/>
  <c r="AH206" i="3"/>
  <c r="AG206" i="3"/>
  <c r="AF206" i="3"/>
  <c r="AC206" i="3"/>
  <c r="AB206" i="3"/>
  <c r="Z206" i="3"/>
  <c r="H206" i="3"/>
  <c r="AL206" i="3" s="1"/>
  <c r="BJ205" i="3"/>
  <c r="BI205" i="3"/>
  <c r="AE205" i="3" s="1"/>
  <c r="BF205" i="3"/>
  <c r="BD205" i="3"/>
  <c r="AP205" i="3"/>
  <c r="AX205" i="3" s="1"/>
  <c r="AO205" i="3"/>
  <c r="BH205" i="3" s="1"/>
  <c r="AD205" i="3" s="1"/>
  <c r="AK205" i="3"/>
  <c r="AJ205" i="3"/>
  <c r="AH205" i="3"/>
  <c r="AG205" i="3"/>
  <c r="AF205" i="3"/>
  <c r="AC205" i="3"/>
  <c r="AB205" i="3"/>
  <c r="Z205" i="3"/>
  <c r="H205" i="3"/>
  <c r="AL205" i="3" s="1"/>
  <c r="BJ204" i="3"/>
  <c r="BF204" i="3"/>
  <c r="BD204" i="3"/>
  <c r="AP204" i="3"/>
  <c r="BI204" i="3" s="1"/>
  <c r="AE204" i="3" s="1"/>
  <c r="AO204" i="3"/>
  <c r="AW204" i="3" s="1"/>
  <c r="AK204" i="3"/>
  <c r="AJ204" i="3"/>
  <c r="AH204" i="3"/>
  <c r="AG204" i="3"/>
  <c r="AF204" i="3"/>
  <c r="AC204" i="3"/>
  <c r="AB204" i="3"/>
  <c r="Z204" i="3"/>
  <c r="H204" i="3"/>
  <c r="AL204" i="3" s="1"/>
  <c r="BJ203" i="3"/>
  <c r="BF203" i="3"/>
  <c r="BD203" i="3"/>
  <c r="AP203" i="3"/>
  <c r="AO203" i="3"/>
  <c r="AK203" i="3"/>
  <c r="AJ203" i="3"/>
  <c r="AH203" i="3"/>
  <c r="AG203" i="3"/>
  <c r="AF203" i="3"/>
  <c r="AC203" i="3"/>
  <c r="AB203" i="3"/>
  <c r="Z203" i="3"/>
  <c r="H203" i="3"/>
  <c r="AL203" i="3" s="1"/>
  <c r="BJ202" i="3"/>
  <c r="BF202" i="3"/>
  <c r="BD202" i="3"/>
  <c r="AP202" i="3"/>
  <c r="BI202" i="3" s="1"/>
  <c r="AE202" i="3" s="1"/>
  <c r="AO202" i="3"/>
  <c r="AK202" i="3"/>
  <c r="AJ202" i="3"/>
  <c r="AH202" i="3"/>
  <c r="AG202" i="3"/>
  <c r="AF202" i="3"/>
  <c r="AC202" i="3"/>
  <c r="AB202" i="3"/>
  <c r="Z202" i="3"/>
  <c r="H202" i="3"/>
  <c r="AL202" i="3" s="1"/>
  <c r="BJ201" i="3"/>
  <c r="BF201" i="3"/>
  <c r="BD201" i="3"/>
  <c r="AP201" i="3"/>
  <c r="AO201" i="3"/>
  <c r="BH201" i="3" s="1"/>
  <c r="AD201" i="3" s="1"/>
  <c r="AK201" i="3"/>
  <c r="AJ201" i="3"/>
  <c r="AH201" i="3"/>
  <c r="AG201" i="3"/>
  <c r="AF201" i="3"/>
  <c r="AC201" i="3"/>
  <c r="AB201" i="3"/>
  <c r="Z201" i="3"/>
  <c r="H201" i="3"/>
  <c r="AL201" i="3" s="1"/>
  <c r="BJ200" i="3"/>
  <c r="BF200" i="3"/>
  <c r="BD200" i="3"/>
  <c r="AP200" i="3"/>
  <c r="AX200" i="3" s="1"/>
  <c r="AO200" i="3"/>
  <c r="AK200" i="3"/>
  <c r="AJ200" i="3"/>
  <c r="AH200" i="3"/>
  <c r="AG200" i="3"/>
  <c r="AF200" i="3"/>
  <c r="AC200" i="3"/>
  <c r="AB200" i="3"/>
  <c r="Z200" i="3"/>
  <c r="H200" i="3"/>
  <c r="AL200" i="3" s="1"/>
  <c r="BJ199" i="3"/>
  <c r="BH199" i="3"/>
  <c r="AD199" i="3" s="1"/>
  <c r="BF199" i="3"/>
  <c r="BD199" i="3"/>
  <c r="AW199" i="3"/>
  <c r="AP199" i="3"/>
  <c r="AO199" i="3"/>
  <c r="AK199" i="3"/>
  <c r="AJ199" i="3"/>
  <c r="AH199" i="3"/>
  <c r="AG199" i="3"/>
  <c r="AF199" i="3"/>
  <c r="AC199" i="3"/>
  <c r="AB199" i="3"/>
  <c r="Z199" i="3"/>
  <c r="H199" i="3"/>
  <c r="BJ197" i="3"/>
  <c r="BF197" i="3"/>
  <c r="BD197" i="3"/>
  <c r="AP197" i="3"/>
  <c r="BI197" i="3" s="1"/>
  <c r="AE197" i="3" s="1"/>
  <c r="AO197" i="3"/>
  <c r="BH197" i="3" s="1"/>
  <c r="AD197" i="3" s="1"/>
  <c r="AK197" i="3"/>
  <c r="AJ197" i="3"/>
  <c r="AH197" i="3"/>
  <c r="AG197" i="3"/>
  <c r="AF197" i="3"/>
  <c r="AC197" i="3"/>
  <c r="AB197" i="3"/>
  <c r="Z197" i="3"/>
  <c r="H197" i="3"/>
  <c r="AL197" i="3" s="1"/>
  <c r="BJ196" i="3"/>
  <c r="BF196" i="3"/>
  <c r="BD196" i="3"/>
  <c r="AP196" i="3"/>
  <c r="AO196" i="3"/>
  <c r="BH196" i="3" s="1"/>
  <c r="AD196" i="3" s="1"/>
  <c r="AK196" i="3"/>
  <c r="AJ196" i="3"/>
  <c r="AH196" i="3"/>
  <c r="AG196" i="3"/>
  <c r="AF196" i="3"/>
  <c r="AC196" i="3"/>
  <c r="AB196" i="3"/>
  <c r="Z196" i="3"/>
  <c r="H196" i="3"/>
  <c r="AL196" i="3" s="1"/>
  <c r="BJ195" i="3"/>
  <c r="BF195" i="3"/>
  <c r="BD195" i="3"/>
  <c r="AP195" i="3"/>
  <c r="BI195" i="3" s="1"/>
  <c r="AE195" i="3" s="1"/>
  <c r="AO195" i="3"/>
  <c r="AW195" i="3" s="1"/>
  <c r="AK195" i="3"/>
  <c r="AJ195" i="3"/>
  <c r="AH195" i="3"/>
  <c r="AG195" i="3"/>
  <c r="AF195" i="3"/>
  <c r="AC195" i="3"/>
  <c r="AB195" i="3"/>
  <c r="Z195" i="3"/>
  <c r="H195" i="3"/>
  <c r="AL195" i="3" s="1"/>
  <c r="BJ194" i="3"/>
  <c r="BF194" i="3"/>
  <c r="BD194" i="3"/>
  <c r="AP194" i="3"/>
  <c r="BI194" i="3" s="1"/>
  <c r="AE194" i="3" s="1"/>
  <c r="AO194" i="3"/>
  <c r="BH194" i="3" s="1"/>
  <c r="AD194" i="3" s="1"/>
  <c r="AK194" i="3"/>
  <c r="AJ194" i="3"/>
  <c r="AH194" i="3"/>
  <c r="AG194" i="3"/>
  <c r="AF194" i="3"/>
  <c r="AC194" i="3"/>
  <c r="AB194" i="3"/>
  <c r="Z194" i="3"/>
  <c r="H194" i="3"/>
  <c r="AL194" i="3" s="1"/>
  <c r="BJ193" i="3"/>
  <c r="BF193" i="3"/>
  <c r="BD193" i="3"/>
  <c r="AP193" i="3"/>
  <c r="BI193" i="3" s="1"/>
  <c r="AE193" i="3" s="1"/>
  <c r="AO193" i="3"/>
  <c r="BH193" i="3" s="1"/>
  <c r="AD193" i="3" s="1"/>
  <c r="AK193" i="3"/>
  <c r="AJ193" i="3"/>
  <c r="AH193" i="3"/>
  <c r="AG193" i="3"/>
  <c r="AF193" i="3"/>
  <c r="AC193" i="3"/>
  <c r="AB193" i="3"/>
  <c r="Z193" i="3"/>
  <c r="H193" i="3"/>
  <c r="AL193" i="3" s="1"/>
  <c r="BJ192" i="3"/>
  <c r="BF192" i="3"/>
  <c r="BD192" i="3"/>
  <c r="AP192" i="3"/>
  <c r="AX192" i="3" s="1"/>
  <c r="AO192" i="3"/>
  <c r="BH192" i="3" s="1"/>
  <c r="AD192" i="3" s="1"/>
  <c r="AK192" i="3"/>
  <c r="AJ192" i="3"/>
  <c r="AH192" i="3"/>
  <c r="AG192" i="3"/>
  <c r="AF192" i="3"/>
  <c r="AC192" i="3"/>
  <c r="AB192" i="3"/>
  <c r="Z192" i="3"/>
  <c r="H192" i="3"/>
  <c r="AL192" i="3" s="1"/>
  <c r="BJ191" i="3"/>
  <c r="BF191" i="3"/>
  <c r="BD191" i="3"/>
  <c r="AP191" i="3"/>
  <c r="AO191" i="3"/>
  <c r="AW191" i="3" s="1"/>
  <c r="AK191" i="3"/>
  <c r="AJ191" i="3"/>
  <c r="AH191" i="3"/>
  <c r="AG191" i="3"/>
  <c r="AF191" i="3"/>
  <c r="AC191" i="3"/>
  <c r="AB191" i="3"/>
  <c r="Z191" i="3"/>
  <c r="H191" i="3"/>
  <c r="AL191" i="3" s="1"/>
  <c r="BJ190" i="3"/>
  <c r="BF190" i="3"/>
  <c r="BD190" i="3"/>
  <c r="AP190" i="3"/>
  <c r="BI190" i="3" s="1"/>
  <c r="AE190" i="3" s="1"/>
  <c r="AO190" i="3"/>
  <c r="AL190" i="3"/>
  <c r="AK190" i="3"/>
  <c r="AJ190" i="3"/>
  <c r="AH190" i="3"/>
  <c r="AG190" i="3"/>
  <c r="AF190" i="3"/>
  <c r="AC190" i="3"/>
  <c r="AB190" i="3"/>
  <c r="Z190" i="3"/>
  <c r="H190" i="3"/>
  <c r="BJ189" i="3"/>
  <c r="BF189" i="3"/>
  <c r="BD189" i="3"/>
  <c r="AP189" i="3"/>
  <c r="BI189" i="3" s="1"/>
  <c r="AE189" i="3" s="1"/>
  <c r="AO189" i="3"/>
  <c r="BH189" i="3" s="1"/>
  <c r="AD189" i="3" s="1"/>
  <c r="AK189" i="3"/>
  <c r="AJ189" i="3"/>
  <c r="AH189" i="3"/>
  <c r="AG189" i="3"/>
  <c r="AF189" i="3"/>
  <c r="AC189" i="3"/>
  <c r="AB189" i="3"/>
  <c r="Z189" i="3"/>
  <c r="H189" i="3"/>
  <c r="AL189" i="3" s="1"/>
  <c r="BJ188" i="3"/>
  <c r="BF188" i="3"/>
  <c r="BD188" i="3"/>
  <c r="AP188" i="3"/>
  <c r="AO188" i="3"/>
  <c r="BH188" i="3" s="1"/>
  <c r="AD188" i="3" s="1"/>
  <c r="AK188" i="3"/>
  <c r="AJ188" i="3"/>
  <c r="AH188" i="3"/>
  <c r="AG188" i="3"/>
  <c r="AF188" i="3"/>
  <c r="AC188" i="3"/>
  <c r="AB188" i="3"/>
  <c r="Z188" i="3"/>
  <c r="H188" i="3"/>
  <c r="AL188" i="3" s="1"/>
  <c r="BJ187" i="3"/>
  <c r="BF187" i="3"/>
  <c r="BD187" i="3"/>
  <c r="AP187" i="3"/>
  <c r="BI187" i="3" s="1"/>
  <c r="AE187" i="3" s="1"/>
  <c r="AO187" i="3"/>
  <c r="AW187" i="3" s="1"/>
  <c r="AK187" i="3"/>
  <c r="AJ187" i="3"/>
  <c r="AH187" i="3"/>
  <c r="AG187" i="3"/>
  <c r="AF187" i="3"/>
  <c r="AC187" i="3"/>
  <c r="AB187" i="3"/>
  <c r="Z187" i="3"/>
  <c r="H187" i="3"/>
  <c r="AL187" i="3" s="1"/>
  <c r="BJ186" i="3"/>
  <c r="BF186" i="3"/>
  <c r="BD186" i="3"/>
  <c r="AP186" i="3"/>
  <c r="BI186" i="3" s="1"/>
  <c r="AE186" i="3" s="1"/>
  <c r="AO186" i="3"/>
  <c r="AW186" i="3" s="1"/>
  <c r="AK186" i="3"/>
  <c r="AJ186" i="3"/>
  <c r="AH186" i="3"/>
  <c r="AG186" i="3"/>
  <c r="AF186" i="3"/>
  <c r="AC186" i="3"/>
  <c r="AB186" i="3"/>
  <c r="Z186" i="3"/>
  <c r="H186" i="3"/>
  <c r="AL186" i="3" s="1"/>
  <c r="BJ185" i="3"/>
  <c r="BF185" i="3"/>
  <c r="BD185" i="3"/>
  <c r="AP185" i="3"/>
  <c r="BI185" i="3" s="1"/>
  <c r="AE185" i="3" s="1"/>
  <c r="AO185" i="3"/>
  <c r="BH185" i="3" s="1"/>
  <c r="AD185" i="3" s="1"/>
  <c r="AK185" i="3"/>
  <c r="AJ185" i="3"/>
  <c r="AH185" i="3"/>
  <c r="AG185" i="3"/>
  <c r="AF185" i="3"/>
  <c r="AC185" i="3"/>
  <c r="AB185" i="3"/>
  <c r="Z185" i="3"/>
  <c r="H185" i="3"/>
  <c r="AL185" i="3" s="1"/>
  <c r="BJ184" i="3"/>
  <c r="BF184" i="3"/>
  <c r="BD184" i="3"/>
  <c r="AP184" i="3"/>
  <c r="AX184" i="3" s="1"/>
  <c r="AO184" i="3"/>
  <c r="BH184" i="3" s="1"/>
  <c r="AD184" i="3" s="1"/>
  <c r="AK184" i="3"/>
  <c r="AJ184" i="3"/>
  <c r="AH184" i="3"/>
  <c r="AG184" i="3"/>
  <c r="AF184" i="3"/>
  <c r="AC184" i="3"/>
  <c r="AB184" i="3"/>
  <c r="Z184" i="3"/>
  <c r="H184" i="3"/>
  <c r="AL184" i="3" s="1"/>
  <c r="BJ183" i="3"/>
  <c r="BF183" i="3"/>
  <c r="BD183" i="3"/>
  <c r="AX183" i="3"/>
  <c r="AP183" i="3"/>
  <c r="BI183" i="3" s="1"/>
  <c r="AO183" i="3"/>
  <c r="AK183" i="3"/>
  <c r="AJ183" i="3"/>
  <c r="AH183" i="3"/>
  <c r="AG183" i="3"/>
  <c r="AF183" i="3"/>
  <c r="AE183" i="3"/>
  <c r="AC183" i="3"/>
  <c r="AB183" i="3"/>
  <c r="Z183" i="3"/>
  <c r="H183" i="3"/>
  <c r="AL183" i="3" s="1"/>
  <c r="BJ182" i="3"/>
  <c r="BF182" i="3"/>
  <c r="BD182" i="3"/>
  <c r="AX182" i="3"/>
  <c r="AP182" i="3"/>
  <c r="BI182" i="3" s="1"/>
  <c r="AE182" i="3" s="1"/>
  <c r="AO182" i="3"/>
  <c r="AK182" i="3"/>
  <c r="AJ182" i="3"/>
  <c r="AH182" i="3"/>
  <c r="AG182" i="3"/>
  <c r="AF182" i="3"/>
  <c r="AC182" i="3"/>
  <c r="AB182" i="3"/>
  <c r="Z182" i="3"/>
  <c r="H182" i="3"/>
  <c r="AL182" i="3" s="1"/>
  <c r="BJ181" i="3"/>
  <c r="BF181" i="3"/>
  <c r="BD181" i="3"/>
  <c r="AW181" i="3"/>
  <c r="AP181" i="3"/>
  <c r="BI181" i="3" s="1"/>
  <c r="AE181" i="3" s="1"/>
  <c r="AO181" i="3"/>
  <c r="BH181" i="3" s="1"/>
  <c r="AD181" i="3" s="1"/>
  <c r="AK181" i="3"/>
  <c r="AJ181" i="3"/>
  <c r="AH181" i="3"/>
  <c r="AG181" i="3"/>
  <c r="AF181" i="3"/>
  <c r="AC181" i="3"/>
  <c r="AB181" i="3"/>
  <c r="Z181" i="3"/>
  <c r="H181" i="3"/>
  <c r="AL181" i="3" s="1"/>
  <c r="BJ180" i="3"/>
  <c r="BF180" i="3"/>
  <c r="BD180" i="3"/>
  <c r="AP180" i="3"/>
  <c r="AO180" i="3"/>
  <c r="BH180" i="3" s="1"/>
  <c r="AD180" i="3" s="1"/>
  <c r="AK180" i="3"/>
  <c r="AJ180" i="3"/>
  <c r="AH180" i="3"/>
  <c r="AG180" i="3"/>
  <c r="AF180" i="3"/>
  <c r="AC180" i="3"/>
  <c r="AB180" i="3"/>
  <c r="Z180" i="3"/>
  <c r="H180" i="3"/>
  <c r="AL180" i="3" s="1"/>
  <c r="BJ179" i="3"/>
  <c r="BH179" i="3"/>
  <c r="AD179" i="3" s="1"/>
  <c r="BF179" i="3"/>
  <c r="BD179" i="3"/>
  <c r="AP179" i="3"/>
  <c r="AO179" i="3"/>
  <c r="AW179" i="3" s="1"/>
  <c r="AK179" i="3"/>
  <c r="AJ179" i="3"/>
  <c r="AH179" i="3"/>
  <c r="AG179" i="3"/>
  <c r="AF179" i="3"/>
  <c r="AC179" i="3"/>
  <c r="AB179" i="3"/>
  <c r="Z179" i="3"/>
  <c r="H179" i="3"/>
  <c r="AL179" i="3" s="1"/>
  <c r="BJ178" i="3"/>
  <c r="BF178" i="3"/>
  <c r="BD178" i="3"/>
  <c r="AP178" i="3"/>
  <c r="BI178" i="3" s="1"/>
  <c r="AE178" i="3" s="1"/>
  <c r="AO178" i="3"/>
  <c r="BH178" i="3" s="1"/>
  <c r="AD178" i="3" s="1"/>
  <c r="AK178" i="3"/>
  <c r="AJ178" i="3"/>
  <c r="AH178" i="3"/>
  <c r="AG178" i="3"/>
  <c r="AF178" i="3"/>
  <c r="AC178" i="3"/>
  <c r="AB178" i="3"/>
  <c r="Z178" i="3"/>
  <c r="H178" i="3"/>
  <c r="AL178" i="3" s="1"/>
  <c r="BJ177" i="3"/>
  <c r="BF177" i="3"/>
  <c r="BD177" i="3"/>
  <c r="AP177" i="3"/>
  <c r="BI177" i="3" s="1"/>
  <c r="AE177" i="3" s="1"/>
  <c r="AO177" i="3"/>
  <c r="BH177" i="3" s="1"/>
  <c r="AD177" i="3" s="1"/>
  <c r="AK177" i="3"/>
  <c r="AJ177" i="3"/>
  <c r="AH177" i="3"/>
  <c r="AG177" i="3"/>
  <c r="AF177" i="3"/>
  <c r="AC177" i="3"/>
  <c r="AB177" i="3"/>
  <c r="Z177" i="3"/>
  <c r="H177" i="3"/>
  <c r="AL177" i="3" s="1"/>
  <c r="BJ176" i="3"/>
  <c r="BF176" i="3"/>
  <c r="BD176" i="3"/>
  <c r="AP176" i="3"/>
  <c r="AX176" i="3" s="1"/>
  <c r="AO176" i="3"/>
  <c r="BH176" i="3" s="1"/>
  <c r="AD176" i="3" s="1"/>
  <c r="AK176" i="3"/>
  <c r="AJ176" i="3"/>
  <c r="AH176" i="3"/>
  <c r="AG176" i="3"/>
  <c r="AF176" i="3"/>
  <c r="AC176" i="3"/>
  <c r="AB176" i="3"/>
  <c r="Z176" i="3"/>
  <c r="H176" i="3"/>
  <c r="AL176" i="3" s="1"/>
  <c r="BJ175" i="3"/>
  <c r="BF175" i="3"/>
  <c r="BD175" i="3"/>
  <c r="AP175" i="3"/>
  <c r="BI175" i="3" s="1"/>
  <c r="AE175" i="3" s="1"/>
  <c r="AO175" i="3"/>
  <c r="AW175" i="3" s="1"/>
  <c r="AK175" i="3"/>
  <c r="AJ175" i="3"/>
  <c r="AH175" i="3"/>
  <c r="AG175" i="3"/>
  <c r="AF175" i="3"/>
  <c r="AC175" i="3"/>
  <c r="AB175" i="3"/>
  <c r="Z175" i="3"/>
  <c r="H175" i="3"/>
  <c r="AL175" i="3" s="1"/>
  <c r="BJ174" i="3"/>
  <c r="BF174" i="3"/>
  <c r="BD174" i="3"/>
  <c r="AP174" i="3"/>
  <c r="BI174" i="3" s="1"/>
  <c r="AE174" i="3" s="1"/>
  <c r="AO174" i="3"/>
  <c r="AK174" i="3"/>
  <c r="AJ174" i="3"/>
  <c r="AH174" i="3"/>
  <c r="AG174" i="3"/>
  <c r="AF174" i="3"/>
  <c r="AC174" i="3"/>
  <c r="AB174" i="3"/>
  <c r="Z174" i="3"/>
  <c r="H174" i="3"/>
  <c r="AL174" i="3" s="1"/>
  <c r="BJ173" i="3"/>
  <c r="BF173" i="3"/>
  <c r="BD173" i="3"/>
  <c r="AP173" i="3"/>
  <c r="BI173" i="3" s="1"/>
  <c r="AE173" i="3" s="1"/>
  <c r="AO173" i="3"/>
  <c r="AK173" i="3"/>
  <c r="AJ173" i="3"/>
  <c r="AH173" i="3"/>
  <c r="AG173" i="3"/>
  <c r="AF173" i="3"/>
  <c r="AC173" i="3"/>
  <c r="AB173" i="3"/>
  <c r="Z173" i="3"/>
  <c r="H173" i="3"/>
  <c r="AL173" i="3" s="1"/>
  <c r="BJ172" i="3"/>
  <c r="BF172" i="3"/>
  <c r="BD172" i="3"/>
  <c r="AP172" i="3"/>
  <c r="AO172" i="3"/>
  <c r="BH172" i="3" s="1"/>
  <c r="AD172" i="3" s="1"/>
  <c r="AK172" i="3"/>
  <c r="AJ172" i="3"/>
  <c r="AH172" i="3"/>
  <c r="AG172" i="3"/>
  <c r="AF172" i="3"/>
  <c r="AC172" i="3"/>
  <c r="AB172" i="3"/>
  <c r="Z172" i="3"/>
  <c r="H172" i="3"/>
  <c r="AL172" i="3" s="1"/>
  <c r="BJ171" i="3"/>
  <c r="BF171" i="3"/>
  <c r="BD171" i="3"/>
  <c r="AX171" i="3"/>
  <c r="AP171" i="3"/>
  <c r="BI171" i="3" s="1"/>
  <c r="AE171" i="3" s="1"/>
  <c r="AO171" i="3"/>
  <c r="AK171" i="3"/>
  <c r="AJ171" i="3"/>
  <c r="AH171" i="3"/>
  <c r="AG171" i="3"/>
  <c r="AF171" i="3"/>
  <c r="AC171" i="3"/>
  <c r="AB171" i="3"/>
  <c r="Z171" i="3"/>
  <c r="H171" i="3"/>
  <c r="AL171" i="3" s="1"/>
  <c r="BJ170" i="3"/>
  <c r="BF170" i="3"/>
  <c r="BD170" i="3"/>
  <c r="AP170" i="3"/>
  <c r="AO170" i="3"/>
  <c r="BH170" i="3" s="1"/>
  <c r="AD170" i="3" s="1"/>
  <c r="AK170" i="3"/>
  <c r="AJ170" i="3"/>
  <c r="AH170" i="3"/>
  <c r="AG170" i="3"/>
  <c r="AF170" i="3"/>
  <c r="AC170" i="3"/>
  <c r="AB170" i="3"/>
  <c r="Z170" i="3"/>
  <c r="H170" i="3"/>
  <c r="AL170" i="3" s="1"/>
  <c r="BJ169" i="3"/>
  <c r="BF169" i="3"/>
  <c r="BD169" i="3"/>
  <c r="AP169" i="3"/>
  <c r="BI169" i="3" s="1"/>
  <c r="AE169" i="3" s="1"/>
  <c r="AO169" i="3"/>
  <c r="BH169" i="3" s="1"/>
  <c r="AD169" i="3" s="1"/>
  <c r="AK169" i="3"/>
  <c r="AJ169" i="3"/>
  <c r="AH169" i="3"/>
  <c r="AG169" i="3"/>
  <c r="AF169" i="3"/>
  <c r="AC169" i="3"/>
  <c r="AB169" i="3"/>
  <c r="Z169" i="3"/>
  <c r="H169" i="3"/>
  <c r="AL169" i="3" s="1"/>
  <c r="BJ168" i="3"/>
  <c r="BF168" i="3"/>
  <c r="BD168" i="3"/>
  <c r="AW168" i="3"/>
  <c r="AP168" i="3"/>
  <c r="AX168" i="3" s="1"/>
  <c r="AO168" i="3"/>
  <c r="BH168" i="3" s="1"/>
  <c r="AD168" i="3" s="1"/>
  <c r="AK168" i="3"/>
  <c r="AJ168" i="3"/>
  <c r="AH168" i="3"/>
  <c r="AG168" i="3"/>
  <c r="AF168" i="3"/>
  <c r="AC168" i="3"/>
  <c r="AB168" i="3"/>
  <c r="Z168" i="3"/>
  <c r="H168" i="3"/>
  <c r="AL168" i="3" s="1"/>
  <c r="BJ167" i="3"/>
  <c r="BF167" i="3"/>
  <c r="BD167" i="3"/>
  <c r="AP167" i="3"/>
  <c r="AO167" i="3"/>
  <c r="AW167" i="3" s="1"/>
  <c r="AK167" i="3"/>
  <c r="AJ167" i="3"/>
  <c r="AH167" i="3"/>
  <c r="AG167" i="3"/>
  <c r="AF167" i="3"/>
  <c r="AC167" i="3"/>
  <c r="AB167" i="3"/>
  <c r="Z167" i="3"/>
  <c r="H167" i="3"/>
  <c r="AL167" i="3" s="1"/>
  <c r="BJ166" i="3"/>
  <c r="BF166" i="3"/>
  <c r="BD166" i="3"/>
  <c r="AX166" i="3"/>
  <c r="AP166" i="3"/>
  <c r="BI166" i="3" s="1"/>
  <c r="AE166" i="3" s="1"/>
  <c r="AO166" i="3"/>
  <c r="AK166" i="3"/>
  <c r="AJ166" i="3"/>
  <c r="AH166" i="3"/>
  <c r="AG166" i="3"/>
  <c r="AF166" i="3"/>
  <c r="AC166" i="3"/>
  <c r="AB166" i="3"/>
  <c r="Z166" i="3"/>
  <c r="H166" i="3"/>
  <c r="AL166" i="3" s="1"/>
  <c r="BJ165" i="3"/>
  <c r="BF165" i="3"/>
  <c r="BD165" i="3"/>
  <c r="AP165" i="3"/>
  <c r="AO165" i="3"/>
  <c r="AK165" i="3"/>
  <c r="AJ165" i="3"/>
  <c r="AH165" i="3"/>
  <c r="AG165" i="3"/>
  <c r="AF165" i="3"/>
  <c r="AC165" i="3"/>
  <c r="AB165" i="3"/>
  <c r="Z165" i="3"/>
  <c r="H165" i="3"/>
  <c r="AL165" i="3" s="1"/>
  <c r="BJ164" i="3"/>
  <c r="BF164" i="3"/>
  <c r="BD164" i="3"/>
  <c r="AP164" i="3"/>
  <c r="AX164" i="3" s="1"/>
  <c r="AO164" i="3"/>
  <c r="AK164" i="3"/>
  <c r="AJ164" i="3"/>
  <c r="AH164" i="3"/>
  <c r="AG164" i="3"/>
  <c r="AF164" i="3"/>
  <c r="AC164" i="3"/>
  <c r="AB164" i="3"/>
  <c r="Z164" i="3"/>
  <c r="H164" i="3"/>
  <c r="AL164" i="3" s="1"/>
  <c r="BJ163" i="3"/>
  <c r="BH163" i="3"/>
  <c r="AD163" i="3" s="1"/>
  <c r="BF163" i="3"/>
  <c r="BD163" i="3"/>
  <c r="AW163" i="3"/>
  <c r="AP163" i="3"/>
  <c r="AO163" i="3"/>
  <c r="AK163" i="3"/>
  <c r="AJ163" i="3"/>
  <c r="AH163" i="3"/>
  <c r="AG163" i="3"/>
  <c r="AF163" i="3"/>
  <c r="AC163" i="3"/>
  <c r="AB163" i="3"/>
  <c r="Z163" i="3"/>
  <c r="H163" i="3"/>
  <c r="AL163" i="3" s="1"/>
  <c r="BJ162" i="3"/>
  <c r="BF162" i="3"/>
  <c r="BD162" i="3"/>
  <c r="AP162" i="3"/>
  <c r="AX162" i="3" s="1"/>
  <c r="AO162" i="3"/>
  <c r="BH162" i="3" s="1"/>
  <c r="AD162" i="3" s="1"/>
  <c r="AK162" i="3"/>
  <c r="AJ162" i="3"/>
  <c r="AH162" i="3"/>
  <c r="AG162" i="3"/>
  <c r="AF162" i="3"/>
  <c r="AC162" i="3"/>
  <c r="AB162" i="3"/>
  <c r="Z162" i="3"/>
  <c r="H162" i="3"/>
  <c r="AL162" i="3" s="1"/>
  <c r="BJ161" i="3"/>
  <c r="BI161" i="3"/>
  <c r="AE161" i="3" s="1"/>
  <c r="BF161" i="3"/>
  <c r="BD161" i="3"/>
  <c r="AP161" i="3"/>
  <c r="AX161" i="3" s="1"/>
  <c r="AO161" i="3"/>
  <c r="AK161" i="3"/>
  <c r="AJ161" i="3"/>
  <c r="AH161" i="3"/>
  <c r="AG161" i="3"/>
  <c r="AF161" i="3"/>
  <c r="AC161" i="3"/>
  <c r="AB161" i="3"/>
  <c r="Z161" i="3"/>
  <c r="H161" i="3"/>
  <c r="AL161" i="3" s="1"/>
  <c r="BJ160" i="3"/>
  <c r="BF160" i="3"/>
  <c r="BD160" i="3"/>
  <c r="AP160" i="3"/>
  <c r="AO160" i="3"/>
  <c r="AW160" i="3" s="1"/>
  <c r="AK160" i="3"/>
  <c r="AJ160" i="3"/>
  <c r="AH160" i="3"/>
  <c r="AG160" i="3"/>
  <c r="AF160" i="3"/>
  <c r="AC160" i="3"/>
  <c r="AB160" i="3"/>
  <c r="Z160" i="3"/>
  <c r="H160" i="3"/>
  <c r="AL160" i="3" s="1"/>
  <c r="BJ159" i="3"/>
  <c r="BF159" i="3"/>
  <c r="BD159" i="3"/>
  <c r="AP159" i="3"/>
  <c r="BI159" i="3" s="1"/>
  <c r="AE159" i="3" s="1"/>
  <c r="AO159" i="3"/>
  <c r="BH159" i="3" s="1"/>
  <c r="AD159" i="3" s="1"/>
  <c r="AK159" i="3"/>
  <c r="AJ159" i="3"/>
  <c r="AH159" i="3"/>
  <c r="AG159" i="3"/>
  <c r="AF159" i="3"/>
  <c r="AC159" i="3"/>
  <c r="AB159" i="3"/>
  <c r="Z159" i="3"/>
  <c r="H159" i="3"/>
  <c r="AL159" i="3" s="1"/>
  <c r="BJ157" i="3"/>
  <c r="BF157" i="3"/>
  <c r="BD157" i="3"/>
  <c r="AP157" i="3"/>
  <c r="AO157" i="3"/>
  <c r="BH157" i="3" s="1"/>
  <c r="AD157" i="3" s="1"/>
  <c r="AK157" i="3"/>
  <c r="AJ157" i="3"/>
  <c r="AS156" i="3" s="1"/>
  <c r="AH157" i="3"/>
  <c r="AG157" i="3"/>
  <c r="AF157" i="3"/>
  <c r="AC157" i="3"/>
  <c r="AB157" i="3"/>
  <c r="Z157" i="3"/>
  <c r="H157" i="3"/>
  <c r="AL157" i="3" s="1"/>
  <c r="AU156" i="3" s="1"/>
  <c r="AT156" i="3"/>
  <c r="H156" i="3"/>
  <c r="BJ155" i="3"/>
  <c r="BF155" i="3"/>
  <c r="BD155" i="3"/>
  <c r="AX155" i="3"/>
  <c r="AP155" i="3"/>
  <c r="BI155" i="3" s="1"/>
  <c r="AE155" i="3" s="1"/>
  <c r="AO155" i="3"/>
  <c r="AW155" i="3" s="1"/>
  <c r="AK155" i="3"/>
  <c r="AJ155" i="3"/>
  <c r="AH155" i="3"/>
  <c r="AG155" i="3"/>
  <c r="AF155" i="3"/>
  <c r="AC155" i="3"/>
  <c r="AB155" i="3"/>
  <c r="Z155" i="3"/>
  <c r="H155" i="3"/>
  <c r="AL155" i="3" s="1"/>
  <c r="BJ154" i="3"/>
  <c r="BF154" i="3"/>
  <c r="BD154" i="3"/>
  <c r="AP154" i="3"/>
  <c r="BI154" i="3" s="1"/>
  <c r="AE154" i="3" s="1"/>
  <c r="AO154" i="3"/>
  <c r="AW154" i="3" s="1"/>
  <c r="AK154" i="3"/>
  <c r="AJ154" i="3"/>
  <c r="AH154" i="3"/>
  <c r="AG154" i="3"/>
  <c r="AF154" i="3"/>
  <c r="AC154" i="3"/>
  <c r="AB154" i="3"/>
  <c r="Z154" i="3"/>
  <c r="H154" i="3"/>
  <c r="AL154" i="3" s="1"/>
  <c r="BJ153" i="3"/>
  <c r="BF153" i="3"/>
  <c r="BD153" i="3"/>
  <c r="AP153" i="3"/>
  <c r="BI153" i="3" s="1"/>
  <c r="AE153" i="3" s="1"/>
  <c r="AO153" i="3"/>
  <c r="AK153" i="3"/>
  <c r="AJ153" i="3"/>
  <c r="AH153" i="3"/>
  <c r="AG153" i="3"/>
  <c r="AF153" i="3"/>
  <c r="AC153" i="3"/>
  <c r="AB153" i="3"/>
  <c r="Z153" i="3"/>
  <c r="H153" i="3"/>
  <c r="AL153" i="3" s="1"/>
  <c r="BJ152" i="3"/>
  <c r="BF152" i="3"/>
  <c r="BD152" i="3"/>
  <c r="AW152" i="3"/>
  <c r="AP152" i="3"/>
  <c r="AX152" i="3" s="1"/>
  <c r="AO152" i="3"/>
  <c r="BH152" i="3" s="1"/>
  <c r="AD152" i="3" s="1"/>
  <c r="AK152" i="3"/>
  <c r="AJ152" i="3"/>
  <c r="AH152" i="3"/>
  <c r="AG152" i="3"/>
  <c r="AF152" i="3"/>
  <c r="AC152" i="3"/>
  <c r="AB152" i="3"/>
  <c r="Z152" i="3"/>
  <c r="H152" i="3"/>
  <c r="AL152" i="3" s="1"/>
  <c r="BJ151" i="3"/>
  <c r="BF151" i="3"/>
  <c r="BD151" i="3"/>
  <c r="AP151" i="3"/>
  <c r="AO151" i="3"/>
  <c r="AW151" i="3" s="1"/>
  <c r="AK151" i="3"/>
  <c r="AJ151" i="3"/>
  <c r="AH151" i="3"/>
  <c r="AG151" i="3"/>
  <c r="AF151" i="3"/>
  <c r="AC151" i="3"/>
  <c r="AB151" i="3"/>
  <c r="Z151" i="3"/>
  <c r="H151" i="3"/>
  <c r="AL151" i="3" s="1"/>
  <c r="BJ150" i="3"/>
  <c r="BF150" i="3"/>
  <c r="BD150" i="3"/>
  <c r="AP150" i="3"/>
  <c r="BI150" i="3" s="1"/>
  <c r="AE150" i="3" s="1"/>
  <c r="AO150" i="3"/>
  <c r="BH150" i="3" s="1"/>
  <c r="AD150" i="3" s="1"/>
  <c r="AK150" i="3"/>
  <c r="AJ150" i="3"/>
  <c r="AH150" i="3"/>
  <c r="AG150" i="3"/>
  <c r="AF150" i="3"/>
  <c r="AC150" i="3"/>
  <c r="AB150" i="3"/>
  <c r="Z150" i="3"/>
  <c r="H150" i="3"/>
  <c r="AL150" i="3" s="1"/>
  <c r="BJ149" i="3"/>
  <c r="BF149" i="3"/>
  <c r="BD149" i="3"/>
  <c r="AP149" i="3"/>
  <c r="BI149" i="3" s="1"/>
  <c r="AE149" i="3" s="1"/>
  <c r="AO149" i="3"/>
  <c r="BH149" i="3" s="1"/>
  <c r="AD149" i="3" s="1"/>
  <c r="AK149" i="3"/>
  <c r="AJ149" i="3"/>
  <c r="AH149" i="3"/>
  <c r="AG149" i="3"/>
  <c r="AF149" i="3"/>
  <c r="AC149" i="3"/>
  <c r="AB149" i="3"/>
  <c r="Z149" i="3"/>
  <c r="H149" i="3"/>
  <c r="AL149" i="3" s="1"/>
  <c r="BJ148" i="3"/>
  <c r="BF148" i="3"/>
  <c r="BD148" i="3"/>
  <c r="AW148" i="3"/>
  <c r="AP148" i="3"/>
  <c r="AX148" i="3" s="1"/>
  <c r="AO148" i="3"/>
  <c r="BH148" i="3" s="1"/>
  <c r="AD148" i="3" s="1"/>
  <c r="AK148" i="3"/>
  <c r="AJ148" i="3"/>
  <c r="AH148" i="3"/>
  <c r="AG148" i="3"/>
  <c r="AF148" i="3"/>
  <c r="AC148" i="3"/>
  <c r="AB148" i="3"/>
  <c r="Z148" i="3"/>
  <c r="H148" i="3"/>
  <c r="AL148" i="3" s="1"/>
  <c r="BJ147" i="3"/>
  <c r="BF147" i="3"/>
  <c r="BD147" i="3"/>
  <c r="AP147" i="3"/>
  <c r="AX147" i="3" s="1"/>
  <c r="AO147" i="3"/>
  <c r="AK147" i="3"/>
  <c r="AJ147" i="3"/>
  <c r="AH147" i="3"/>
  <c r="AG147" i="3"/>
  <c r="AF147" i="3"/>
  <c r="AC147" i="3"/>
  <c r="AB147" i="3"/>
  <c r="Z147" i="3"/>
  <c r="H147" i="3"/>
  <c r="AL147" i="3" s="1"/>
  <c r="BJ146" i="3"/>
  <c r="BF146" i="3"/>
  <c r="BD146" i="3"/>
  <c r="AP146" i="3"/>
  <c r="AO146" i="3"/>
  <c r="AK146" i="3"/>
  <c r="AJ146" i="3"/>
  <c r="AH146" i="3"/>
  <c r="AG146" i="3"/>
  <c r="AF146" i="3"/>
  <c r="AC146" i="3"/>
  <c r="AB146" i="3"/>
  <c r="Z146" i="3"/>
  <c r="H146" i="3"/>
  <c r="AL146" i="3" s="1"/>
  <c r="BJ145" i="3"/>
  <c r="BF145" i="3"/>
  <c r="BD145" i="3"/>
  <c r="AX145" i="3"/>
  <c r="AP145" i="3"/>
  <c r="BI145" i="3" s="1"/>
  <c r="AE145" i="3" s="1"/>
  <c r="AO145" i="3"/>
  <c r="BH145" i="3" s="1"/>
  <c r="AD145" i="3" s="1"/>
  <c r="AK145" i="3"/>
  <c r="AJ145" i="3"/>
  <c r="AH145" i="3"/>
  <c r="AG145" i="3"/>
  <c r="AF145" i="3"/>
  <c r="AC145" i="3"/>
  <c r="AB145" i="3"/>
  <c r="Z145" i="3"/>
  <c r="H145" i="3"/>
  <c r="AL145" i="3" s="1"/>
  <c r="BJ144" i="3"/>
  <c r="BF144" i="3"/>
  <c r="BD144" i="3"/>
  <c r="AP144" i="3"/>
  <c r="AX144" i="3" s="1"/>
  <c r="AO144" i="3"/>
  <c r="BH144" i="3" s="1"/>
  <c r="AD144" i="3" s="1"/>
  <c r="AK144" i="3"/>
  <c r="AJ144" i="3"/>
  <c r="AH144" i="3"/>
  <c r="AG144" i="3"/>
  <c r="AF144" i="3"/>
  <c r="AC144" i="3"/>
  <c r="AB144" i="3"/>
  <c r="Z144" i="3"/>
  <c r="H144" i="3"/>
  <c r="AL144" i="3" s="1"/>
  <c r="BJ143" i="3"/>
  <c r="BF143" i="3"/>
  <c r="BD143" i="3"/>
  <c r="AP143" i="3"/>
  <c r="AO143" i="3"/>
  <c r="AW143" i="3" s="1"/>
  <c r="AK143" i="3"/>
  <c r="AJ143" i="3"/>
  <c r="AH143" i="3"/>
  <c r="AG143" i="3"/>
  <c r="AF143" i="3"/>
  <c r="AC143" i="3"/>
  <c r="AB143" i="3"/>
  <c r="Z143" i="3"/>
  <c r="H143" i="3"/>
  <c r="AL143" i="3" s="1"/>
  <c r="BJ141" i="3"/>
  <c r="BF141" i="3"/>
  <c r="BD141" i="3"/>
  <c r="AP141" i="3"/>
  <c r="AO141" i="3"/>
  <c r="AW141" i="3" s="1"/>
  <c r="AK141" i="3"/>
  <c r="AJ141" i="3"/>
  <c r="AH141" i="3"/>
  <c r="AG141" i="3"/>
  <c r="AF141" i="3"/>
  <c r="AC141" i="3"/>
  <c r="AB141" i="3"/>
  <c r="Z141" i="3"/>
  <c r="H141" i="3"/>
  <c r="AL141" i="3" s="1"/>
  <c r="BJ140" i="3"/>
  <c r="BF140" i="3"/>
  <c r="BD140" i="3"/>
  <c r="AP140" i="3"/>
  <c r="AO140" i="3"/>
  <c r="AK140" i="3"/>
  <c r="AJ140" i="3"/>
  <c r="AH140" i="3"/>
  <c r="AG140" i="3"/>
  <c r="AF140" i="3"/>
  <c r="AC140" i="3"/>
  <c r="AB140" i="3"/>
  <c r="Z140" i="3"/>
  <c r="H140" i="3"/>
  <c r="AL140" i="3" s="1"/>
  <c r="BJ139" i="3"/>
  <c r="BF139" i="3"/>
  <c r="BD139" i="3"/>
  <c r="AX139" i="3"/>
  <c r="AP139" i="3"/>
  <c r="BI139" i="3" s="1"/>
  <c r="AE139" i="3" s="1"/>
  <c r="AO139" i="3"/>
  <c r="BH139" i="3" s="1"/>
  <c r="AD139" i="3" s="1"/>
  <c r="AK139" i="3"/>
  <c r="AJ139" i="3"/>
  <c r="AH139" i="3"/>
  <c r="AG139" i="3"/>
  <c r="AF139" i="3"/>
  <c r="AC139" i="3"/>
  <c r="AB139" i="3"/>
  <c r="Z139" i="3"/>
  <c r="H139" i="3"/>
  <c r="AL139" i="3" s="1"/>
  <c r="BJ138" i="3"/>
  <c r="BF138" i="3"/>
  <c r="BD138" i="3"/>
  <c r="AW138" i="3"/>
  <c r="BC138" i="3" s="1"/>
  <c r="AP138" i="3"/>
  <c r="AX138" i="3" s="1"/>
  <c r="AO138" i="3"/>
  <c r="BH138" i="3" s="1"/>
  <c r="AD138" i="3" s="1"/>
  <c r="AK138" i="3"/>
  <c r="AJ138" i="3"/>
  <c r="AH138" i="3"/>
  <c r="AG138" i="3"/>
  <c r="AF138" i="3"/>
  <c r="AC138" i="3"/>
  <c r="AB138" i="3"/>
  <c r="Z138" i="3"/>
  <c r="H138" i="3"/>
  <c r="AL138" i="3" s="1"/>
  <c r="BJ137" i="3"/>
  <c r="BF137" i="3"/>
  <c r="BD137" i="3"/>
  <c r="AX137" i="3"/>
  <c r="AP137" i="3"/>
  <c r="BI137" i="3" s="1"/>
  <c r="AE137" i="3" s="1"/>
  <c r="AO137" i="3"/>
  <c r="AW137" i="3" s="1"/>
  <c r="AK137" i="3"/>
  <c r="AJ137" i="3"/>
  <c r="AH137" i="3"/>
  <c r="AG137" i="3"/>
  <c r="AF137" i="3"/>
  <c r="AC137" i="3"/>
  <c r="AB137" i="3"/>
  <c r="Z137" i="3"/>
  <c r="H137" i="3"/>
  <c r="AL137" i="3" s="1"/>
  <c r="BJ136" i="3"/>
  <c r="BF136" i="3"/>
  <c r="BD136" i="3"/>
  <c r="AP136" i="3"/>
  <c r="BI136" i="3" s="1"/>
  <c r="AE136" i="3" s="1"/>
  <c r="AO136" i="3"/>
  <c r="AK136" i="3"/>
  <c r="AJ136" i="3"/>
  <c r="AH136" i="3"/>
  <c r="AG136" i="3"/>
  <c r="AF136" i="3"/>
  <c r="AC136" i="3"/>
  <c r="AB136" i="3"/>
  <c r="Z136" i="3"/>
  <c r="H136" i="3"/>
  <c r="AL136" i="3" s="1"/>
  <c r="BJ135" i="3"/>
  <c r="BF135" i="3"/>
  <c r="BD135" i="3"/>
  <c r="AP135" i="3"/>
  <c r="AO135" i="3"/>
  <c r="BH135" i="3" s="1"/>
  <c r="AD135" i="3" s="1"/>
  <c r="AK135" i="3"/>
  <c r="AJ135" i="3"/>
  <c r="AH135" i="3"/>
  <c r="AG135" i="3"/>
  <c r="AF135" i="3"/>
  <c r="AC135" i="3"/>
  <c r="AB135" i="3"/>
  <c r="Z135" i="3"/>
  <c r="H135" i="3"/>
  <c r="AL135" i="3" s="1"/>
  <c r="BJ134" i="3"/>
  <c r="BF134" i="3"/>
  <c r="BD134" i="3"/>
  <c r="AP134" i="3"/>
  <c r="AX134" i="3" s="1"/>
  <c r="AO134" i="3"/>
  <c r="BH134" i="3" s="1"/>
  <c r="AD134" i="3" s="1"/>
  <c r="AK134" i="3"/>
  <c r="AJ134" i="3"/>
  <c r="AH134" i="3"/>
  <c r="AG134" i="3"/>
  <c r="AF134" i="3"/>
  <c r="AC134" i="3"/>
  <c r="AB134" i="3"/>
  <c r="Z134" i="3"/>
  <c r="H134" i="3"/>
  <c r="AL134" i="3" s="1"/>
  <c r="BJ133" i="3"/>
  <c r="BF133" i="3"/>
  <c r="BD133" i="3"/>
  <c r="AX133" i="3"/>
  <c r="AP133" i="3"/>
  <c r="BI133" i="3" s="1"/>
  <c r="AE133" i="3" s="1"/>
  <c r="AO133" i="3"/>
  <c r="AW133" i="3" s="1"/>
  <c r="AK133" i="3"/>
  <c r="AJ133" i="3"/>
  <c r="AH133" i="3"/>
  <c r="AG133" i="3"/>
  <c r="AF133" i="3"/>
  <c r="AC133" i="3"/>
  <c r="AB133" i="3"/>
  <c r="Z133" i="3"/>
  <c r="H133" i="3"/>
  <c r="AL133" i="3" s="1"/>
  <c r="BJ132" i="3"/>
  <c r="BF132" i="3"/>
  <c r="BD132" i="3"/>
  <c r="AW132" i="3"/>
  <c r="AP132" i="3"/>
  <c r="BI132" i="3" s="1"/>
  <c r="AE132" i="3" s="1"/>
  <c r="AO132" i="3"/>
  <c r="BH132" i="3" s="1"/>
  <c r="AD132" i="3" s="1"/>
  <c r="AK132" i="3"/>
  <c r="AJ132" i="3"/>
  <c r="AH132" i="3"/>
  <c r="AG132" i="3"/>
  <c r="AF132" i="3"/>
  <c r="AC132" i="3"/>
  <c r="AB132" i="3"/>
  <c r="Z132" i="3"/>
  <c r="H132" i="3"/>
  <c r="AL132" i="3" s="1"/>
  <c r="BJ131" i="3"/>
  <c r="BF131" i="3"/>
  <c r="BD131" i="3"/>
  <c r="AX131" i="3"/>
  <c r="AP131" i="3"/>
  <c r="BI131" i="3" s="1"/>
  <c r="AE131" i="3" s="1"/>
  <c r="AO131" i="3"/>
  <c r="BH131" i="3" s="1"/>
  <c r="AD131" i="3" s="1"/>
  <c r="AK131" i="3"/>
  <c r="AJ131" i="3"/>
  <c r="AH131" i="3"/>
  <c r="AG131" i="3"/>
  <c r="AF131" i="3"/>
  <c r="AC131" i="3"/>
  <c r="AB131" i="3"/>
  <c r="Z131" i="3"/>
  <c r="H131" i="3"/>
  <c r="AL131" i="3" s="1"/>
  <c r="BJ130" i="3"/>
  <c r="BF130" i="3"/>
  <c r="BD130" i="3"/>
  <c r="AP130" i="3"/>
  <c r="AX130" i="3" s="1"/>
  <c r="AO130" i="3"/>
  <c r="BH130" i="3" s="1"/>
  <c r="AD130" i="3" s="1"/>
  <c r="AK130" i="3"/>
  <c r="AJ130" i="3"/>
  <c r="AH130" i="3"/>
  <c r="AG130" i="3"/>
  <c r="AF130" i="3"/>
  <c r="AC130" i="3"/>
  <c r="AB130" i="3"/>
  <c r="Z130" i="3"/>
  <c r="H130" i="3"/>
  <c r="AL130" i="3" s="1"/>
  <c r="BJ129" i="3"/>
  <c r="BF129" i="3"/>
  <c r="BD129" i="3"/>
  <c r="AX129" i="3"/>
  <c r="AP129" i="3"/>
  <c r="BI129" i="3" s="1"/>
  <c r="AE129" i="3" s="1"/>
  <c r="AO129" i="3"/>
  <c r="AW129" i="3" s="1"/>
  <c r="AK129" i="3"/>
  <c r="AJ129" i="3"/>
  <c r="AH129" i="3"/>
  <c r="AG129" i="3"/>
  <c r="AF129" i="3"/>
  <c r="AC129" i="3"/>
  <c r="AB129" i="3"/>
  <c r="Z129" i="3"/>
  <c r="H129" i="3"/>
  <c r="AL129" i="3" s="1"/>
  <c r="BJ128" i="3"/>
  <c r="BF128" i="3"/>
  <c r="BD128" i="3"/>
  <c r="AW128" i="3"/>
  <c r="AP128" i="3"/>
  <c r="BI128" i="3" s="1"/>
  <c r="AE128" i="3" s="1"/>
  <c r="AO128" i="3"/>
  <c r="BH128" i="3" s="1"/>
  <c r="AD128" i="3" s="1"/>
  <c r="AK128" i="3"/>
  <c r="AJ128" i="3"/>
  <c r="AH128" i="3"/>
  <c r="AG128" i="3"/>
  <c r="AF128" i="3"/>
  <c r="AC128" i="3"/>
  <c r="AB128" i="3"/>
  <c r="Z128" i="3"/>
  <c r="H128" i="3"/>
  <c r="AL128" i="3" s="1"/>
  <c r="BJ127" i="3"/>
  <c r="BF127" i="3"/>
  <c r="BD127" i="3"/>
  <c r="AX127" i="3"/>
  <c r="AP127" i="3"/>
  <c r="BI127" i="3" s="1"/>
  <c r="AE127" i="3" s="1"/>
  <c r="AO127" i="3"/>
  <c r="BH127" i="3" s="1"/>
  <c r="AD127" i="3" s="1"/>
  <c r="AK127" i="3"/>
  <c r="AJ127" i="3"/>
  <c r="AH127" i="3"/>
  <c r="AG127" i="3"/>
  <c r="AF127" i="3"/>
  <c r="AC127" i="3"/>
  <c r="AB127" i="3"/>
  <c r="Z127" i="3"/>
  <c r="H127" i="3"/>
  <c r="AL127" i="3" s="1"/>
  <c r="BJ126" i="3"/>
  <c r="BF126" i="3"/>
  <c r="BD126" i="3"/>
  <c r="AP126" i="3"/>
  <c r="AX126" i="3" s="1"/>
  <c r="AO126" i="3"/>
  <c r="BH126" i="3" s="1"/>
  <c r="AD126" i="3" s="1"/>
  <c r="AK126" i="3"/>
  <c r="AJ126" i="3"/>
  <c r="AH126" i="3"/>
  <c r="AG126" i="3"/>
  <c r="AF126" i="3"/>
  <c r="AC126" i="3"/>
  <c r="AB126" i="3"/>
  <c r="Z126" i="3"/>
  <c r="H126" i="3"/>
  <c r="AL126" i="3" s="1"/>
  <c r="BJ125" i="3"/>
  <c r="BF125" i="3"/>
  <c r="BD125" i="3"/>
  <c r="AX125" i="3"/>
  <c r="AP125" i="3"/>
  <c r="BI125" i="3" s="1"/>
  <c r="AE125" i="3" s="1"/>
  <c r="AO125" i="3"/>
  <c r="AW125" i="3" s="1"/>
  <c r="AK125" i="3"/>
  <c r="AJ125" i="3"/>
  <c r="AH125" i="3"/>
  <c r="AG125" i="3"/>
  <c r="AF125" i="3"/>
  <c r="AC125" i="3"/>
  <c r="AB125" i="3"/>
  <c r="Z125" i="3"/>
  <c r="H125" i="3"/>
  <c r="AL125" i="3" s="1"/>
  <c r="BJ124" i="3"/>
  <c r="BF124" i="3"/>
  <c r="BD124" i="3"/>
  <c r="AW124" i="3"/>
  <c r="AP124" i="3"/>
  <c r="BI124" i="3" s="1"/>
  <c r="AE124" i="3" s="1"/>
  <c r="AO124" i="3"/>
  <c r="BH124" i="3" s="1"/>
  <c r="AD124" i="3" s="1"/>
  <c r="AK124" i="3"/>
  <c r="AJ124" i="3"/>
  <c r="AH124" i="3"/>
  <c r="AG124" i="3"/>
  <c r="AF124" i="3"/>
  <c r="AC124" i="3"/>
  <c r="AB124" i="3"/>
  <c r="Z124" i="3"/>
  <c r="H124" i="3"/>
  <c r="AL124" i="3" s="1"/>
  <c r="BJ123" i="3"/>
  <c r="BF123" i="3"/>
  <c r="BD123" i="3"/>
  <c r="AX123" i="3"/>
  <c r="AP123" i="3"/>
  <c r="BI123" i="3" s="1"/>
  <c r="AE123" i="3" s="1"/>
  <c r="AO123" i="3"/>
  <c r="BH123" i="3" s="1"/>
  <c r="AD123" i="3" s="1"/>
  <c r="AK123" i="3"/>
  <c r="AJ123" i="3"/>
  <c r="AH123" i="3"/>
  <c r="AG123" i="3"/>
  <c r="AF123" i="3"/>
  <c r="AC123" i="3"/>
  <c r="AB123" i="3"/>
  <c r="Z123" i="3"/>
  <c r="H123" i="3"/>
  <c r="AL123" i="3" s="1"/>
  <c r="BJ122" i="3"/>
  <c r="BF122" i="3"/>
  <c r="BD122" i="3"/>
  <c r="AP122" i="3"/>
  <c r="AX122" i="3" s="1"/>
  <c r="AO122" i="3"/>
  <c r="BH122" i="3" s="1"/>
  <c r="AD122" i="3" s="1"/>
  <c r="AK122" i="3"/>
  <c r="AJ122" i="3"/>
  <c r="AH122" i="3"/>
  <c r="AG122" i="3"/>
  <c r="AF122" i="3"/>
  <c r="AC122" i="3"/>
  <c r="AB122" i="3"/>
  <c r="Z122" i="3"/>
  <c r="H122" i="3"/>
  <c r="AL122" i="3" s="1"/>
  <c r="BJ121" i="3"/>
  <c r="BH121" i="3"/>
  <c r="AD121" i="3" s="1"/>
  <c r="BF121" i="3"/>
  <c r="BD121" i="3"/>
  <c r="AP121" i="3"/>
  <c r="BI121" i="3" s="1"/>
  <c r="AE121" i="3" s="1"/>
  <c r="AO121" i="3"/>
  <c r="AW121" i="3" s="1"/>
  <c r="AK121" i="3"/>
  <c r="AJ121" i="3"/>
  <c r="AH121" i="3"/>
  <c r="AG121" i="3"/>
  <c r="AF121" i="3"/>
  <c r="AC121" i="3"/>
  <c r="AB121" i="3"/>
  <c r="Z121" i="3"/>
  <c r="H121" i="3"/>
  <c r="AL121" i="3" s="1"/>
  <c r="BJ120" i="3"/>
  <c r="BF120" i="3"/>
  <c r="BD120" i="3"/>
  <c r="AP120" i="3"/>
  <c r="BI120" i="3" s="1"/>
  <c r="AE120" i="3" s="1"/>
  <c r="AO120" i="3"/>
  <c r="BH120" i="3" s="1"/>
  <c r="AD120" i="3" s="1"/>
  <c r="AK120" i="3"/>
  <c r="AJ120" i="3"/>
  <c r="AH120" i="3"/>
  <c r="AG120" i="3"/>
  <c r="AF120" i="3"/>
  <c r="AC120" i="3"/>
  <c r="AB120" i="3"/>
  <c r="Z120" i="3"/>
  <c r="H120" i="3"/>
  <c r="AL120" i="3" s="1"/>
  <c r="BJ119" i="3"/>
  <c r="BF119" i="3"/>
  <c r="BD119" i="3"/>
  <c r="AX119" i="3"/>
  <c r="AP119" i="3"/>
  <c r="BI119" i="3" s="1"/>
  <c r="AE119" i="3" s="1"/>
  <c r="AO119" i="3"/>
  <c r="BH119" i="3" s="1"/>
  <c r="AD119" i="3" s="1"/>
  <c r="AK119" i="3"/>
  <c r="AJ119" i="3"/>
  <c r="AH119" i="3"/>
  <c r="AG119" i="3"/>
  <c r="AF119" i="3"/>
  <c r="AC119" i="3"/>
  <c r="AB119" i="3"/>
  <c r="Z119" i="3"/>
  <c r="H119" i="3"/>
  <c r="BJ118" i="3"/>
  <c r="BF118" i="3"/>
  <c r="BD118" i="3"/>
  <c r="AW118" i="3"/>
  <c r="BC118" i="3" s="1"/>
  <c r="AP118" i="3"/>
  <c r="AX118" i="3" s="1"/>
  <c r="AO118" i="3"/>
  <c r="BH118" i="3" s="1"/>
  <c r="AD118" i="3" s="1"/>
  <c r="AK118" i="3"/>
  <c r="AJ118" i="3"/>
  <c r="AH118" i="3"/>
  <c r="AG118" i="3"/>
  <c r="AF118" i="3"/>
  <c r="AC118" i="3"/>
  <c r="AB118" i="3"/>
  <c r="Z118" i="3"/>
  <c r="H118" i="3"/>
  <c r="AL118" i="3" s="1"/>
  <c r="BJ116" i="3"/>
  <c r="BF116" i="3"/>
  <c r="BD116" i="3"/>
  <c r="AP116" i="3"/>
  <c r="BI116" i="3" s="1"/>
  <c r="AE116" i="3" s="1"/>
  <c r="AO116" i="3"/>
  <c r="AW116" i="3" s="1"/>
  <c r="AK116" i="3"/>
  <c r="AJ116" i="3"/>
  <c r="AH116" i="3"/>
  <c r="AG116" i="3"/>
  <c r="AF116" i="3"/>
  <c r="AC116" i="3"/>
  <c r="AB116" i="3"/>
  <c r="Z116" i="3"/>
  <c r="H116" i="3"/>
  <c r="AL116" i="3" s="1"/>
  <c r="BJ115" i="3"/>
  <c r="BF115" i="3"/>
  <c r="BD115" i="3"/>
  <c r="AP115" i="3"/>
  <c r="BI115" i="3" s="1"/>
  <c r="AE115" i="3" s="1"/>
  <c r="AO115" i="3"/>
  <c r="BH115" i="3" s="1"/>
  <c r="AD115" i="3" s="1"/>
  <c r="AL115" i="3"/>
  <c r="AK115" i="3"/>
  <c r="AJ115" i="3"/>
  <c r="AH115" i="3"/>
  <c r="AG115" i="3"/>
  <c r="AF115" i="3"/>
  <c r="AC115" i="3"/>
  <c r="AB115" i="3"/>
  <c r="Z115" i="3"/>
  <c r="H115" i="3"/>
  <c r="BJ114" i="3"/>
  <c r="BF114" i="3"/>
  <c r="BD114" i="3"/>
  <c r="AP114" i="3"/>
  <c r="BI114" i="3" s="1"/>
  <c r="AE114" i="3" s="1"/>
  <c r="AO114" i="3"/>
  <c r="BH114" i="3" s="1"/>
  <c r="AD114" i="3" s="1"/>
  <c r="AK114" i="3"/>
  <c r="AJ114" i="3"/>
  <c r="AH114" i="3"/>
  <c r="AG114" i="3"/>
  <c r="AF114" i="3"/>
  <c r="AC114" i="3"/>
  <c r="AB114" i="3"/>
  <c r="Z114" i="3"/>
  <c r="H114" i="3"/>
  <c r="AL114" i="3" s="1"/>
  <c r="BJ113" i="3"/>
  <c r="BF113" i="3"/>
  <c r="BD113" i="3"/>
  <c r="AP113" i="3"/>
  <c r="AX113" i="3" s="1"/>
  <c r="AO113" i="3"/>
  <c r="BH113" i="3" s="1"/>
  <c r="AD113" i="3" s="1"/>
  <c r="AL113" i="3"/>
  <c r="AK113" i="3"/>
  <c r="AJ113" i="3"/>
  <c r="AH113" i="3"/>
  <c r="AG113" i="3"/>
  <c r="AF113" i="3"/>
  <c r="AC113" i="3"/>
  <c r="AB113" i="3"/>
  <c r="Z113" i="3"/>
  <c r="H113" i="3"/>
  <c r="BJ112" i="3"/>
  <c r="BF112" i="3"/>
  <c r="BD112" i="3"/>
  <c r="AP112" i="3"/>
  <c r="BI112" i="3" s="1"/>
  <c r="AE112" i="3" s="1"/>
  <c r="AO112" i="3"/>
  <c r="AW112" i="3" s="1"/>
  <c r="AK112" i="3"/>
  <c r="AJ112" i="3"/>
  <c r="AH112" i="3"/>
  <c r="AG112" i="3"/>
  <c r="AF112" i="3"/>
  <c r="AC112" i="3"/>
  <c r="AB112" i="3"/>
  <c r="Z112" i="3"/>
  <c r="H112" i="3"/>
  <c r="AL112" i="3" s="1"/>
  <c r="BJ111" i="3"/>
  <c r="BF111" i="3"/>
  <c r="BD111" i="3"/>
  <c r="AP111" i="3"/>
  <c r="BI111" i="3" s="1"/>
  <c r="AE111" i="3" s="1"/>
  <c r="AO111" i="3"/>
  <c r="BH111" i="3" s="1"/>
  <c r="AD111" i="3" s="1"/>
  <c r="AL111" i="3"/>
  <c r="AK111" i="3"/>
  <c r="AJ111" i="3"/>
  <c r="AH111" i="3"/>
  <c r="AG111" i="3"/>
  <c r="AF111" i="3"/>
  <c r="AC111" i="3"/>
  <c r="AB111" i="3"/>
  <c r="Z111" i="3"/>
  <c r="H111" i="3"/>
  <c r="BJ110" i="3"/>
  <c r="BF110" i="3"/>
  <c r="BD110" i="3"/>
  <c r="AP110" i="3"/>
  <c r="BI110" i="3" s="1"/>
  <c r="AE110" i="3" s="1"/>
  <c r="AO110" i="3"/>
  <c r="BH110" i="3" s="1"/>
  <c r="AD110" i="3" s="1"/>
  <c r="AK110" i="3"/>
  <c r="AJ110" i="3"/>
  <c r="AH110" i="3"/>
  <c r="AG110" i="3"/>
  <c r="AF110" i="3"/>
  <c r="AC110" i="3"/>
  <c r="AB110" i="3"/>
  <c r="Z110" i="3"/>
  <c r="H110" i="3"/>
  <c r="AL110" i="3" s="1"/>
  <c r="BJ109" i="3"/>
  <c r="BF109" i="3"/>
  <c r="BD109" i="3"/>
  <c r="AP109" i="3"/>
  <c r="AX109" i="3" s="1"/>
  <c r="AO109" i="3"/>
  <c r="BH109" i="3" s="1"/>
  <c r="AD109" i="3" s="1"/>
  <c r="AL109" i="3"/>
  <c r="AK109" i="3"/>
  <c r="AJ109" i="3"/>
  <c r="AH109" i="3"/>
  <c r="AG109" i="3"/>
  <c r="AF109" i="3"/>
  <c r="AC109" i="3"/>
  <c r="AB109" i="3"/>
  <c r="Z109" i="3"/>
  <c r="H109" i="3"/>
  <c r="BJ108" i="3"/>
  <c r="BF108" i="3"/>
  <c r="BD108" i="3"/>
  <c r="AP108" i="3"/>
  <c r="BI108" i="3" s="1"/>
  <c r="AE108" i="3" s="1"/>
  <c r="AO108" i="3"/>
  <c r="AW108" i="3" s="1"/>
  <c r="AK108" i="3"/>
  <c r="AJ108" i="3"/>
  <c r="AH108" i="3"/>
  <c r="AG108" i="3"/>
  <c r="AF108" i="3"/>
  <c r="AC108" i="3"/>
  <c r="AB108" i="3"/>
  <c r="Z108" i="3"/>
  <c r="H108" i="3"/>
  <c r="AL108" i="3" s="1"/>
  <c r="BJ107" i="3"/>
  <c r="BF107" i="3"/>
  <c r="BD107" i="3"/>
  <c r="AP107" i="3"/>
  <c r="AX107" i="3" s="1"/>
  <c r="AO107" i="3"/>
  <c r="BH107" i="3" s="1"/>
  <c r="AD107" i="3" s="1"/>
  <c r="AL107" i="3"/>
  <c r="AK107" i="3"/>
  <c r="AJ107" i="3"/>
  <c r="AH107" i="3"/>
  <c r="AG107" i="3"/>
  <c r="AF107" i="3"/>
  <c r="AC107" i="3"/>
  <c r="AB107" i="3"/>
  <c r="Z107" i="3"/>
  <c r="H107" i="3"/>
  <c r="BJ106" i="3"/>
  <c r="BF106" i="3"/>
  <c r="BD106" i="3"/>
  <c r="AP106" i="3"/>
  <c r="BI106" i="3" s="1"/>
  <c r="AE106" i="3" s="1"/>
  <c r="AO106" i="3"/>
  <c r="AW106" i="3" s="1"/>
  <c r="AK106" i="3"/>
  <c r="AJ106" i="3"/>
  <c r="AH106" i="3"/>
  <c r="AG106" i="3"/>
  <c r="AF106" i="3"/>
  <c r="AC106" i="3"/>
  <c r="AB106" i="3"/>
  <c r="Z106" i="3"/>
  <c r="H106" i="3"/>
  <c r="AL106" i="3" s="1"/>
  <c r="BJ105" i="3"/>
  <c r="BF105" i="3"/>
  <c r="BD105" i="3"/>
  <c r="AP105" i="3"/>
  <c r="AX105" i="3" s="1"/>
  <c r="AO105" i="3"/>
  <c r="BH105" i="3" s="1"/>
  <c r="AD105" i="3" s="1"/>
  <c r="AL105" i="3"/>
  <c r="AK105" i="3"/>
  <c r="AJ105" i="3"/>
  <c r="AH105" i="3"/>
  <c r="AG105" i="3"/>
  <c r="AF105" i="3"/>
  <c r="AC105" i="3"/>
  <c r="AB105" i="3"/>
  <c r="Z105" i="3"/>
  <c r="H105" i="3"/>
  <c r="BJ104" i="3"/>
  <c r="BF104" i="3"/>
  <c r="BD104" i="3"/>
  <c r="AP104" i="3"/>
  <c r="BI104" i="3" s="1"/>
  <c r="AE104" i="3" s="1"/>
  <c r="AO104" i="3"/>
  <c r="AW104" i="3" s="1"/>
  <c r="AK104" i="3"/>
  <c r="AJ104" i="3"/>
  <c r="AH104" i="3"/>
  <c r="AG104" i="3"/>
  <c r="AF104" i="3"/>
  <c r="AC104" i="3"/>
  <c r="AB104" i="3"/>
  <c r="Z104" i="3"/>
  <c r="H104" i="3"/>
  <c r="AL104" i="3" s="1"/>
  <c r="BJ103" i="3"/>
  <c r="BF103" i="3"/>
  <c r="BD103" i="3"/>
  <c r="AP103" i="3"/>
  <c r="AX103" i="3" s="1"/>
  <c r="AO103" i="3"/>
  <c r="BH103" i="3" s="1"/>
  <c r="AD103" i="3" s="1"/>
  <c r="AK103" i="3"/>
  <c r="AJ103" i="3"/>
  <c r="AH103" i="3"/>
  <c r="AG103" i="3"/>
  <c r="AF103" i="3"/>
  <c r="AC103" i="3"/>
  <c r="AB103" i="3"/>
  <c r="Z103" i="3"/>
  <c r="H103" i="3"/>
  <c r="AL103" i="3" s="1"/>
  <c r="BJ102" i="3"/>
  <c r="BH102" i="3"/>
  <c r="AD102" i="3" s="1"/>
  <c r="BF102" i="3"/>
  <c r="BD102" i="3"/>
  <c r="AP102" i="3"/>
  <c r="BI102" i="3" s="1"/>
  <c r="AE102" i="3" s="1"/>
  <c r="AO102" i="3"/>
  <c r="AW102" i="3" s="1"/>
  <c r="AK102" i="3"/>
  <c r="AJ102" i="3"/>
  <c r="AH102" i="3"/>
  <c r="AG102" i="3"/>
  <c r="AF102" i="3"/>
  <c r="AC102" i="3"/>
  <c r="AB102" i="3"/>
  <c r="Z102" i="3"/>
  <c r="H102" i="3"/>
  <c r="AL102" i="3" s="1"/>
  <c r="BJ101" i="3"/>
  <c r="BF101" i="3"/>
  <c r="BD101" i="3"/>
  <c r="AP101" i="3"/>
  <c r="AX101" i="3" s="1"/>
  <c r="AO101" i="3"/>
  <c r="BH101" i="3" s="1"/>
  <c r="AD101" i="3" s="1"/>
  <c r="AL101" i="3"/>
  <c r="AK101" i="3"/>
  <c r="AJ101" i="3"/>
  <c r="AH101" i="3"/>
  <c r="AG101" i="3"/>
  <c r="AF101" i="3"/>
  <c r="AC101" i="3"/>
  <c r="AB101" i="3"/>
  <c r="Z101" i="3"/>
  <c r="H101" i="3"/>
  <c r="BJ100" i="3"/>
  <c r="BF100" i="3"/>
  <c r="BD100" i="3"/>
  <c r="AP100" i="3"/>
  <c r="BI100" i="3" s="1"/>
  <c r="AE100" i="3" s="1"/>
  <c r="AO100" i="3"/>
  <c r="AW100" i="3" s="1"/>
  <c r="AK100" i="3"/>
  <c r="AJ100" i="3"/>
  <c r="AH100" i="3"/>
  <c r="AG100" i="3"/>
  <c r="AF100" i="3"/>
  <c r="AC100" i="3"/>
  <c r="AB100" i="3"/>
  <c r="Z100" i="3"/>
  <c r="H100" i="3"/>
  <c r="AL100" i="3" s="1"/>
  <c r="BJ99" i="3"/>
  <c r="BF99" i="3"/>
  <c r="BD99" i="3"/>
  <c r="AW99" i="3"/>
  <c r="AP99" i="3"/>
  <c r="AX99" i="3" s="1"/>
  <c r="AO99" i="3"/>
  <c r="BH99" i="3" s="1"/>
  <c r="AD99" i="3" s="1"/>
  <c r="AK99" i="3"/>
  <c r="AJ99" i="3"/>
  <c r="AH99" i="3"/>
  <c r="AG99" i="3"/>
  <c r="AF99" i="3"/>
  <c r="AC99" i="3"/>
  <c r="AB99" i="3"/>
  <c r="Z99" i="3"/>
  <c r="H99" i="3"/>
  <c r="AL99" i="3" s="1"/>
  <c r="BJ98" i="3"/>
  <c r="BF98" i="3"/>
  <c r="BD98" i="3"/>
  <c r="AX98" i="3"/>
  <c r="AP98" i="3"/>
  <c r="BI98" i="3" s="1"/>
  <c r="AE98" i="3" s="1"/>
  <c r="AO98" i="3"/>
  <c r="AW98" i="3" s="1"/>
  <c r="AK98" i="3"/>
  <c r="AJ98" i="3"/>
  <c r="AH98" i="3"/>
  <c r="AG98" i="3"/>
  <c r="AF98" i="3"/>
  <c r="AC98" i="3"/>
  <c r="AB98" i="3"/>
  <c r="Z98" i="3"/>
  <c r="H98" i="3"/>
  <c r="AL98" i="3" s="1"/>
  <c r="BJ97" i="3"/>
  <c r="BF97" i="3"/>
  <c r="BD97" i="3"/>
  <c r="AP97" i="3"/>
  <c r="AX97" i="3" s="1"/>
  <c r="AO97" i="3"/>
  <c r="BH97" i="3" s="1"/>
  <c r="AD97" i="3" s="1"/>
  <c r="AL97" i="3"/>
  <c r="AK97" i="3"/>
  <c r="AJ97" i="3"/>
  <c r="AH97" i="3"/>
  <c r="AG97" i="3"/>
  <c r="AF97" i="3"/>
  <c r="AC97" i="3"/>
  <c r="AB97" i="3"/>
  <c r="Z97" i="3"/>
  <c r="H97" i="3"/>
  <c r="BJ96" i="3"/>
  <c r="BF96" i="3"/>
  <c r="BD96" i="3"/>
  <c r="AP96" i="3"/>
  <c r="BI96" i="3" s="1"/>
  <c r="AE96" i="3" s="1"/>
  <c r="AO96" i="3"/>
  <c r="AW96" i="3" s="1"/>
  <c r="AK96" i="3"/>
  <c r="AJ96" i="3"/>
  <c r="AH96" i="3"/>
  <c r="AG96" i="3"/>
  <c r="AF96" i="3"/>
  <c r="AC96" i="3"/>
  <c r="AB96" i="3"/>
  <c r="Z96" i="3"/>
  <c r="H96" i="3"/>
  <c r="AL96" i="3" s="1"/>
  <c r="BJ95" i="3"/>
  <c r="BF95" i="3"/>
  <c r="BD95" i="3"/>
  <c r="AW95" i="3"/>
  <c r="AP95" i="3"/>
  <c r="AX95" i="3" s="1"/>
  <c r="AO95" i="3"/>
  <c r="BH95" i="3" s="1"/>
  <c r="AD95" i="3" s="1"/>
  <c r="AK95" i="3"/>
  <c r="AJ95" i="3"/>
  <c r="AH95" i="3"/>
  <c r="AG95" i="3"/>
  <c r="AF95" i="3"/>
  <c r="AC95" i="3"/>
  <c r="AB95" i="3"/>
  <c r="Z95" i="3"/>
  <c r="H95" i="3"/>
  <c r="AL95" i="3" s="1"/>
  <c r="BJ94" i="3"/>
  <c r="BF94" i="3"/>
  <c r="BD94" i="3"/>
  <c r="AX94" i="3"/>
  <c r="AP94" i="3"/>
  <c r="BI94" i="3" s="1"/>
  <c r="AE94" i="3" s="1"/>
  <c r="AO94" i="3"/>
  <c r="BH94" i="3" s="1"/>
  <c r="AD94" i="3" s="1"/>
  <c r="AL94" i="3"/>
  <c r="AK94" i="3"/>
  <c r="AJ94" i="3"/>
  <c r="AH94" i="3"/>
  <c r="AG94" i="3"/>
  <c r="AF94" i="3"/>
  <c r="AC94" i="3"/>
  <c r="AB94" i="3"/>
  <c r="Z94" i="3"/>
  <c r="H94" i="3"/>
  <c r="BJ93" i="3"/>
  <c r="BF93" i="3"/>
  <c r="BD93" i="3"/>
  <c r="AP93" i="3"/>
  <c r="AX93" i="3" s="1"/>
  <c r="AO93" i="3"/>
  <c r="BH93" i="3" s="1"/>
  <c r="AD93" i="3" s="1"/>
  <c r="AL93" i="3"/>
  <c r="AK93" i="3"/>
  <c r="AJ93" i="3"/>
  <c r="AH93" i="3"/>
  <c r="AG93" i="3"/>
  <c r="AF93" i="3"/>
  <c r="AC93" i="3"/>
  <c r="AB93" i="3"/>
  <c r="Z93" i="3"/>
  <c r="H93" i="3"/>
  <c r="BJ92" i="3"/>
  <c r="BF92" i="3"/>
  <c r="BD92" i="3"/>
  <c r="AP92" i="3"/>
  <c r="AX92" i="3" s="1"/>
  <c r="AO92" i="3"/>
  <c r="AW92" i="3" s="1"/>
  <c r="AK92" i="3"/>
  <c r="AJ92" i="3"/>
  <c r="AH92" i="3"/>
  <c r="AG92" i="3"/>
  <c r="AF92" i="3"/>
  <c r="AC92" i="3"/>
  <c r="AB92" i="3"/>
  <c r="Z92" i="3"/>
  <c r="H92" i="3"/>
  <c r="AL92" i="3" s="1"/>
  <c r="BJ91" i="3"/>
  <c r="BF91" i="3"/>
  <c r="BD91" i="3"/>
  <c r="AP91" i="3"/>
  <c r="BI91" i="3" s="1"/>
  <c r="AE91" i="3" s="1"/>
  <c r="AO91" i="3"/>
  <c r="AW91" i="3" s="1"/>
  <c r="AL91" i="3"/>
  <c r="AK91" i="3"/>
  <c r="AJ91" i="3"/>
  <c r="AH91" i="3"/>
  <c r="AG91" i="3"/>
  <c r="AF91" i="3"/>
  <c r="AC91" i="3"/>
  <c r="AB91" i="3"/>
  <c r="Z91" i="3"/>
  <c r="H91" i="3"/>
  <c r="BJ90" i="3"/>
  <c r="BF90" i="3"/>
  <c r="BD90" i="3"/>
  <c r="AP90" i="3"/>
  <c r="BI90" i="3" s="1"/>
  <c r="AE90" i="3" s="1"/>
  <c r="AO90" i="3"/>
  <c r="BH90" i="3" s="1"/>
  <c r="AD90" i="3" s="1"/>
  <c r="AL90" i="3"/>
  <c r="AK90" i="3"/>
  <c r="AJ90" i="3"/>
  <c r="AH90" i="3"/>
  <c r="AG90" i="3"/>
  <c r="AF90" i="3"/>
  <c r="AC90" i="3"/>
  <c r="AB90" i="3"/>
  <c r="Z90" i="3"/>
  <c r="H90" i="3"/>
  <c r="BJ89" i="3"/>
  <c r="BF89" i="3"/>
  <c r="BD89" i="3"/>
  <c r="AP89" i="3"/>
  <c r="AX89" i="3" s="1"/>
  <c r="AO89" i="3"/>
  <c r="BH89" i="3" s="1"/>
  <c r="AD89" i="3" s="1"/>
  <c r="AL89" i="3"/>
  <c r="AK89" i="3"/>
  <c r="AJ89" i="3"/>
  <c r="AH89" i="3"/>
  <c r="AG89" i="3"/>
  <c r="AF89" i="3"/>
  <c r="AC89" i="3"/>
  <c r="AB89" i="3"/>
  <c r="Z89" i="3"/>
  <c r="H89" i="3"/>
  <c r="BJ88" i="3"/>
  <c r="BF88" i="3"/>
  <c r="BD88" i="3"/>
  <c r="AP88" i="3"/>
  <c r="BI88" i="3" s="1"/>
  <c r="AE88" i="3" s="1"/>
  <c r="AO88" i="3"/>
  <c r="AW88" i="3" s="1"/>
  <c r="AK88" i="3"/>
  <c r="AJ88" i="3"/>
  <c r="AH88" i="3"/>
  <c r="AG88" i="3"/>
  <c r="AF88" i="3"/>
  <c r="AC88" i="3"/>
  <c r="AB88" i="3"/>
  <c r="Z88" i="3"/>
  <c r="H88" i="3"/>
  <c r="AL88" i="3" s="1"/>
  <c r="BJ87" i="3"/>
  <c r="BF87" i="3"/>
  <c r="BD87" i="3"/>
  <c r="AP87" i="3"/>
  <c r="AX87" i="3" s="1"/>
  <c r="AO87" i="3"/>
  <c r="BH87" i="3" s="1"/>
  <c r="AD87" i="3" s="1"/>
  <c r="AK87" i="3"/>
  <c r="AJ87" i="3"/>
  <c r="AH87" i="3"/>
  <c r="AG87" i="3"/>
  <c r="AF87" i="3"/>
  <c r="AC87" i="3"/>
  <c r="AB87" i="3"/>
  <c r="Z87" i="3"/>
  <c r="H87" i="3"/>
  <c r="AL87" i="3" s="1"/>
  <c r="BJ86" i="3"/>
  <c r="BF86" i="3"/>
  <c r="BD86" i="3"/>
  <c r="AX86" i="3"/>
  <c r="AP86" i="3"/>
  <c r="BI86" i="3" s="1"/>
  <c r="AE86" i="3" s="1"/>
  <c r="AO86" i="3"/>
  <c r="BH86" i="3" s="1"/>
  <c r="AD86" i="3" s="1"/>
  <c r="AK86" i="3"/>
  <c r="AJ86" i="3"/>
  <c r="AH86" i="3"/>
  <c r="AG86" i="3"/>
  <c r="AF86" i="3"/>
  <c r="AC86" i="3"/>
  <c r="AB86" i="3"/>
  <c r="Z86" i="3"/>
  <c r="H86" i="3"/>
  <c r="AL86" i="3" s="1"/>
  <c r="BJ85" i="3"/>
  <c r="BF85" i="3"/>
  <c r="BD85" i="3"/>
  <c r="AP85" i="3"/>
  <c r="AX85" i="3" s="1"/>
  <c r="AO85" i="3"/>
  <c r="BH85" i="3" s="1"/>
  <c r="AD85" i="3" s="1"/>
  <c r="AL85" i="3"/>
  <c r="AK85" i="3"/>
  <c r="AJ85" i="3"/>
  <c r="AH85" i="3"/>
  <c r="AG85" i="3"/>
  <c r="AF85" i="3"/>
  <c r="AC85" i="3"/>
  <c r="AB85" i="3"/>
  <c r="Z85" i="3"/>
  <c r="H85" i="3"/>
  <c r="BJ84" i="3"/>
  <c r="BI84" i="3"/>
  <c r="AE84" i="3" s="1"/>
  <c r="BF84" i="3"/>
  <c r="BD84" i="3"/>
  <c r="AP84" i="3"/>
  <c r="AX84" i="3" s="1"/>
  <c r="AO84" i="3"/>
  <c r="AW84" i="3" s="1"/>
  <c r="AK84" i="3"/>
  <c r="AJ84" i="3"/>
  <c r="AH84" i="3"/>
  <c r="AG84" i="3"/>
  <c r="AF84" i="3"/>
  <c r="AC84" i="3"/>
  <c r="AB84" i="3"/>
  <c r="Z84" i="3"/>
  <c r="H84" i="3"/>
  <c r="AL84" i="3" s="1"/>
  <c r="BJ83" i="3"/>
  <c r="BF83" i="3"/>
  <c r="BD83" i="3"/>
  <c r="AX83" i="3"/>
  <c r="AP83" i="3"/>
  <c r="BI83" i="3" s="1"/>
  <c r="AE83" i="3" s="1"/>
  <c r="AO83" i="3"/>
  <c r="AW83" i="3" s="1"/>
  <c r="AL83" i="3"/>
  <c r="AK83" i="3"/>
  <c r="AJ83" i="3"/>
  <c r="AH83" i="3"/>
  <c r="AG83" i="3"/>
  <c r="AF83" i="3"/>
  <c r="AC83" i="3"/>
  <c r="AB83" i="3"/>
  <c r="Z83" i="3"/>
  <c r="H83" i="3"/>
  <c r="BJ81" i="3"/>
  <c r="BF81" i="3"/>
  <c r="BD81" i="3"/>
  <c r="AP81" i="3"/>
  <c r="BI81" i="3" s="1"/>
  <c r="AE81" i="3" s="1"/>
  <c r="AO81" i="3"/>
  <c r="BH81" i="3" s="1"/>
  <c r="AD81" i="3" s="1"/>
  <c r="AK81" i="3"/>
  <c r="AT80" i="3" s="1"/>
  <c r="AJ81" i="3"/>
  <c r="AS80" i="3" s="1"/>
  <c r="AH81" i="3"/>
  <c r="AG81" i="3"/>
  <c r="AF81" i="3"/>
  <c r="AC81" i="3"/>
  <c r="AB81" i="3"/>
  <c r="Z81" i="3"/>
  <c r="H81" i="3"/>
  <c r="AL81" i="3" s="1"/>
  <c r="AU80" i="3" s="1"/>
  <c r="BJ79" i="3"/>
  <c r="BF79" i="3"/>
  <c r="BD79" i="3"/>
  <c r="AP79" i="3"/>
  <c r="AX79" i="3" s="1"/>
  <c r="AO79" i="3"/>
  <c r="BH79" i="3" s="1"/>
  <c r="AD79" i="3" s="1"/>
  <c r="AK79" i="3"/>
  <c r="AJ79" i="3"/>
  <c r="AS78" i="3" s="1"/>
  <c r="AH79" i="3"/>
  <c r="AG79" i="3"/>
  <c r="AF79" i="3"/>
  <c r="AC79" i="3"/>
  <c r="AB79" i="3"/>
  <c r="Z79" i="3"/>
  <c r="H79" i="3"/>
  <c r="AL79" i="3" s="1"/>
  <c r="AU78" i="3" s="1"/>
  <c r="AT78" i="3"/>
  <c r="H78" i="3"/>
  <c r="BJ77" i="3"/>
  <c r="BF77" i="3"/>
  <c r="BD77" i="3"/>
  <c r="AP77" i="3"/>
  <c r="AX77" i="3" s="1"/>
  <c r="AO77" i="3"/>
  <c r="AW77" i="3" s="1"/>
  <c r="AK77" i="3"/>
  <c r="AT76" i="3" s="1"/>
  <c r="AJ77" i="3"/>
  <c r="AS76" i="3" s="1"/>
  <c r="AH77" i="3"/>
  <c r="AG77" i="3"/>
  <c r="AF77" i="3"/>
  <c r="AE77" i="3"/>
  <c r="AD77" i="3"/>
  <c r="Z77" i="3"/>
  <c r="H77" i="3"/>
  <c r="AL77" i="3" s="1"/>
  <c r="AU76" i="3" s="1"/>
  <c r="BJ75" i="3"/>
  <c r="BF75" i="3"/>
  <c r="BD75" i="3"/>
  <c r="AP75" i="3"/>
  <c r="BI75" i="3" s="1"/>
  <c r="AC75" i="3" s="1"/>
  <c r="AO75" i="3"/>
  <c r="AW75" i="3" s="1"/>
  <c r="AK75" i="3"/>
  <c r="AJ75" i="3"/>
  <c r="AH75" i="3"/>
  <c r="AG75" i="3"/>
  <c r="AF75" i="3"/>
  <c r="AE75" i="3"/>
  <c r="AD75" i="3"/>
  <c r="Z75" i="3"/>
  <c r="H75" i="3"/>
  <c r="AL75" i="3" s="1"/>
  <c r="BJ74" i="3"/>
  <c r="BH74" i="3"/>
  <c r="AB74" i="3" s="1"/>
  <c r="BF74" i="3"/>
  <c r="BD74" i="3"/>
  <c r="AX74" i="3"/>
  <c r="AW74" i="3"/>
  <c r="AP74" i="3"/>
  <c r="BI74" i="3" s="1"/>
  <c r="AO74" i="3"/>
  <c r="AL74" i="3"/>
  <c r="AK74" i="3"/>
  <c r="AJ74" i="3"/>
  <c r="AH74" i="3"/>
  <c r="AG74" i="3"/>
  <c r="AF74" i="3"/>
  <c r="AE74" i="3"/>
  <c r="AD74" i="3"/>
  <c r="AC74" i="3"/>
  <c r="Z74" i="3"/>
  <c r="H74" i="3"/>
  <c r="BJ73" i="3"/>
  <c r="BF73" i="3"/>
  <c r="BD73" i="3"/>
  <c r="AP73" i="3"/>
  <c r="AX73" i="3" s="1"/>
  <c r="AO73" i="3"/>
  <c r="BH73" i="3" s="1"/>
  <c r="AB73" i="3" s="1"/>
  <c r="AK73" i="3"/>
  <c r="AJ73" i="3"/>
  <c r="AH73" i="3"/>
  <c r="AG73" i="3"/>
  <c r="AF73" i="3"/>
  <c r="AE73" i="3"/>
  <c r="AD73" i="3"/>
  <c r="Z73" i="3"/>
  <c r="H73" i="3"/>
  <c r="AL73" i="3" s="1"/>
  <c r="BJ72" i="3"/>
  <c r="BF72" i="3"/>
  <c r="BD72" i="3"/>
  <c r="AX72" i="3"/>
  <c r="AP72" i="3"/>
  <c r="BI72" i="3" s="1"/>
  <c r="AC72" i="3" s="1"/>
  <c r="AO72" i="3"/>
  <c r="AW72" i="3" s="1"/>
  <c r="BC72" i="3" s="1"/>
  <c r="AK72" i="3"/>
  <c r="AJ72" i="3"/>
  <c r="AH72" i="3"/>
  <c r="AG72" i="3"/>
  <c r="AF72" i="3"/>
  <c r="AE72" i="3"/>
  <c r="AD72" i="3"/>
  <c r="Z72" i="3"/>
  <c r="H72" i="3"/>
  <c r="AL72" i="3" s="1"/>
  <c r="BJ70" i="3"/>
  <c r="BF70" i="3"/>
  <c r="BD70" i="3"/>
  <c r="AP70" i="3"/>
  <c r="BI70" i="3" s="1"/>
  <c r="AC70" i="3" s="1"/>
  <c r="AO70" i="3"/>
  <c r="AW70" i="3" s="1"/>
  <c r="AK70" i="3"/>
  <c r="AJ70" i="3"/>
  <c r="AH70" i="3"/>
  <c r="AG70" i="3"/>
  <c r="AF70" i="3"/>
  <c r="AE70" i="3"/>
  <c r="AD70" i="3"/>
  <c r="Z70" i="3"/>
  <c r="H70" i="3"/>
  <c r="AL70" i="3" s="1"/>
  <c r="BJ69" i="3"/>
  <c r="BF69" i="3"/>
  <c r="BD69" i="3"/>
  <c r="AP69" i="3"/>
  <c r="BI69" i="3" s="1"/>
  <c r="AC69" i="3" s="1"/>
  <c r="AO69" i="3"/>
  <c r="BH69" i="3" s="1"/>
  <c r="AB69" i="3" s="1"/>
  <c r="AK69" i="3"/>
  <c r="AJ69" i="3"/>
  <c r="AH69" i="3"/>
  <c r="AG69" i="3"/>
  <c r="AF69" i="3"/>
  <c r="AE69" i="3"/>
  <c r="AD69" i="3"/>
  <c r="Z69" i="3"/>
  <c r="H69" i="3"/>
  <c r="AL69" i="3" s="1"/>
  <c r="BJ68" i="3"/>
  <c r="BF68" i="3"/>
  <c r="BD68" i="3"/>
  <c r="AP68" i="3"/>
  <c r="AX68" i="3" s="1"/>
  <c r="AO68" i="3"/>
  <c r="BH68" i="3" s="1"/>
  <c r="AB68" i="3" s="1"/>
  <c r="AK68" i="3"/>
  <c r="AJ68" i="3"/>
  <c r="AH68" i="3"/>
  <c r="AG68" i="3"/>
  <c r="AF68" i="3"/>
  <c r="AE68" i="3"/>
  <c r="AD68" i="3"/>
  <c r="Z68" i="3"/>
  <c r="H68" i="3"/>
  <c r="AL68" i="3" s="1"/>
  <c r="BJ67" i="3"/>
  <c r="BF67" i="3"/>
  <c r="BD67" i="3"/>
  <c r="AP67" i="3"/>
  <c r="AX67" i="3" s="1"/>
  <c r="AO67" i="3"/>
  <c r="AW67" i="3" s="1"/>
  <c r="AK67" i="3"/>
  <c r="AJ67" i="3"/>
  <c r="AH67" i="3"/>
  <c r="AG67" i="3"/>
  <c r="AF67" i="3"/>
  <c r="AE67" i="3"/>
  <c r="AD67" i="3"/>
  <c r="Z67" i="3"/>
  <c r="H67" i="3"/>
  <c r="AL67" i="3" s="1"/>
  <c r="BJ66" i="3"/>
  <c r="BF66" i="3"/>
  <c r="BD66" i="3"/>
  <c r="AP66" i="3"/>
  <c r="AX66" i="3" s="1"/>
  <c r="AO66" i="3"/>
  <c r="BH66" i="3" s="1"/>
  <c r="AB66" i="3" s="1"/>
  <c r="AK66" i="3"/>
  <c r="AJ66" i="3"/>
  <c r="AH66" i="3"/>
  <c r="AG66" i="3"/>
  <c r="AF66" i="3"/>
  <c r="AE66" i="3"/>
  <c r="AD66" i="3"/>
  <c r="Z66" i="3"/>
  <c r="H66" i="3"/>
  <c r="AL66" i="3" s="1"/>
  <c r="BJ65" i="3"/>
  <c r="BF65" i="3"/>
  <c r="BD65" i="3"/>
  <c r="AP65" i="3"/>
  <c r="BI65" i="3" s="1"/>
  <c r="AC65" i="3" s="1"/>
  <c r="AO65" i="3"/>
  <c r="BH65" i="3" s="1"/>
  <c r="AB65" i="3" s="1"/>
  <c r="AK65" i="3"/>
  <c r="AJ65" i="3"/>
  <c r="AH65" i="3"/>
  <c r="AG65" i="3"/>
  <c r="AF65" i="3"/>
  <c r="AE65" i="3"/>
  <c r="AD65" i="3"/>
  <c r="Z65" i="3"/>
  <c r="H65" i="3"/>
  <c r="AL65" i="3" s="1"/>
  <c r="BJ63" i="3"/>
  <c r="BF63" i="3"/>
  <c r="BD63" i="3"/>
  <c r="AP63" i="3"/>
  <c r="AX63" i="3" s="1"/>
  <c r="AO63" i="3"/>
  <c r="BH63" i="3" s="1"/>
  <c r="AB63" i="3" s="1"/>
  <c r="AK63" i="3"/>
  <c r="AJ63" i="3"/>
  <c r="AH63" i="3"/>
  <c r="AG63" i="3"/>
  <c r="AF63" i="3"/>
  <c r="AE63" i="3"/>
  <c r="AD63" i="3"/>
  <c r="Z63" i="3"/>
  <c r="H63" i="3"/>
  <c r="AL63" i="3" s="1"/>
  <c r="BJ62" i="3"/>
  <c r="BF62" i="3"/>
  <c r="BD62" i="3"/>
  <c r="AX62" i="3"/>
  <c r="AP62" i="3"/>
  <c r="BI62" i="3" s="1"/>
  <c r="AC62" i="3" s="1"/>
  <c r="AO62" i="3"/>
  <c r="AW62" i="3" s="1"/>
  <c r="AK62" i="3"/>
  <c r="AJ62" i="3"/>
  <c r="AH62" i="3"/>
  <c r="AG62" i="3"/>
  <c r="AF62" i="3"/>
  <c r="AE62" i="3"/>
  <c r="AD62" i="3"/>
  <c r="Z62" i="3"/>
  <c r="H62" i="3"/>
  <c r="AL62" i="3" s="1"/>
  <c r="BJ61" i="3"/>
  <c r="BF61" i="3"/>
  <c r="BD61" i="3"/>
  <c r="AW61" i="3"/>
  <c r="AP61" i="3"/>
  <c r="AX61" i="3" s="1"/>
  <c r="AO61" i="3"/>
  <c r="BH61" i="3" s="1"/>
  <c r="AB61" i="3" s="1"/>
  <c r="AK61" i="3"/>
  <c r="AT57" i="3" s="1"/>
  <c r="AJ61" i="3"/>
  <c r="AH61" i="3"/>
  <c r="AG61" i="3"/>
  <c r="AF61" i="3"/>
  <c r="AE61" i="3"/>
  <c r="AD61" i="3"/>
  <c r="Z61" i="3"/>
  <c r="H61" i="3"/>
  <c r="AL61" i="3" s="1"/>
  <c r="BJ60" i="3"/>
  <c r="BF60" i="3"/>
  <c r="BD60" i="3"/>
  <c r="AX60" i="3"/>
  <c r="AP60" i="3"/>
  <c r="BI60" i="3" s="1"/>
  <c r="AC60" i="3" s="1"/>
  <c r="AO60" i="3"/>
  <c r="AW60" i="3" s="1"/>
  <c r="AK60" i="3"/>
  <c r="AJ60" i="3"/>
  <c r="AH60" i="3"/>
  <c r="AG60" i="3"/>
  <c r="AF60" i="3"/>
  <c r="AE60" i="3"/>
  <c r="AD60" i="3"/>
  <c r="Z60" i="3"/>
  <c r="H60" i="3"/>
  <c r="AL60" i="3" s="1"/>
  <c r="BJ59" i="3"/>
  <c r="BF59" i="3"/>
  <c r="BD59" i="3"/>
  <c r="AP59" i="3"/>
  <c r="BI59" i="3" s="1"/>
  <c r="AC59" i="3" s="1"/>
  <c r="AO59" i="3"/>
  <c r="BH59" i="3" s="1"/>
  <c r="AB59" i="3" s="1"/>
  <c r="AK59" i="3"/>
  <c r="AJ59" i="3"/>
  <c r="AH59" i="3"/>
  <c r="AG59" i="3"/>
  <c r="AF59" i="3"/>
  <c r="AE59" i="3"/>
  <c r="AD59" i="3"/>
  <c r="Z59" i="3"/>
  <c r="H59" i="3"/>
  <c r="AL59" i="3" s="1"/>
  <c r="BJ58" i="3"/>
  <c r="BF58" i="3"/>
  <c r="BD58" i="3"/>
  <c r="AP58" i="3"/>
  <c r="BI58" i="3" s="1"/>
  <c r="AC58" i="3" s="1"/>
  <c r="AO58" i="3"/>
  <c r="BH58" i="3" s="1"/>
  <c r="AB58" i="3" s="1"/>
  <c r="AK58" i="3"/>
  <c r="AJ58" i="3"/>
  <c r="AH58" i="3"/>
  <c r="AG58" i="3"/>
  <c r="AF58" i="3"/>
  <c r="AE58" i="3"/>
  <c r="AD58" i="3"/>
  <c r="Z58" i="3"/>
  <c r="H58" i="3"/>
  <c r="AL58" i="3" s="1"/>
  <c r="BJ56" i="3"/>
  <c r="BF56" i="3"/>
  <c r="BD56" i="3"/>
  <c r="AP56" i="3"/>
  <c r="AX56" i="3" s="1"/>
  <c r="AO56" i="3"/>
  <c r="BH56" i="3" s="1"/>
  <c r="AB56" i="3" s="1"/>
  <c r="AK56" i="3"/>
  <c r="AJ56" i="3"/>
  <c r="AH56" i="3"/>
  <c r="AG56" i="3"/>
  <c r="AF56" i="3"/>
  <c r="AE56" i="3"/>
  <c r="AD56" i="3"/>
  <c r="Z56" i="3"/>
  <c r="H56" i="3"/>
  <c r="AL56" i="3" s="1"/>
  <c r="BJ55" i="3"/>
  <c r="BF55" i="3"/>
  <c r="BD55" i="3"/>
  <c r="AP55" i="3"/>
  <c r="BI55" i="3" s="1"/>
  <c r="AC55" i="3" s="1"/>
  <c r="AO55" i="3"/>
  <c r="AW55" i="3" s="1"/>
  <c r="AK55" i="3"/>
  <c r="AJ55" i="3"/>
  <c r="AH55" i="3"/>
  <c r="AG55" i="3"/>
  <c r="AF55" i="3"/>
  <c r="AE55" i="3"/>
  <c r="AD55" i="3"/>
  <c r="Z55" i="3"/>
  <c r="H55" i="3"/>
  <c r="AL55" i="3" s="1"/>
  <c r="BJ54" i="3"/>
  <c r="BF54" i="3"/>
  <c r="BD54" i="3"/>
  <c r="AP54" i="3"/>
  <c r="BI54" i="3" s="1"/>
  <c r="AC54" i="3" s="1"/>
  <c r="AO54" i="3"/>
  <c r="BH54" i="3" s="1"/>
  <c r="AB54" i="3" s="1"/>
  <c r="AL54" i="3"/>
  <c r="AK54" i="3"/>
  <c r="AJ54" i="3"/>
  <c r="AH54" i="3"/>
  <c r="AG54" i="3"/>
  <c r="AF54" i="3"/>
  <c r="AE54" i="3"/>
  <c r="AD54" i="3"/>
  <c r="Z54" i="3"/>
  <c r="H54" i="3"/>
  <c r="BJ53" i="3"/>
  <c r="BF53" i="3"/>
  <c r="BD53" i="3"/>
  <c r="AP53" i="3"/>
  <c r="BI53" i="3" s="1"/>
  <c r="AC53" i="3" s="1"/>
  <c r="AO53" i="3"/>
  <c r="BH53" i="3" s="1"/>
  <c r="AB53" i="3" s="1"/>
  <c r="AK53" i="3"/>
  <c r="AJ53" i="3"/>
  <c r="AH53" i="3"/>
  <c r="AG53" i="3"/>
  <c r="AF53" i="3"/>
  <c r="AE53" i="3"/>
  <c r="AD53" i="3"/>
  <c r="Z53" i="3"/>
  <c r="H53" i="3"/>
  <c r="AL53" i="3" s="1"/>
  <c r="BJ52" i="3"/>
  <c r="BF52" i="3"/>
  <c r="BD52" i="3"/>
  <c r="AW52" i="3"/>
  <c r="AV52" i="3" s="1"/>
  <c r="AP52" i="3"/>
  <c r="AX52" i="3" s="1"/>
  <c r="AO52" i="3"/>
  <c r="BH52" i="3" s="1"/>
  <c r="AB52" i="3" s="1"/>
  <c r="AK52" i="3"/>
  <c r="AJ52" i="3"/>
  <c r="AH52" i="3"/>
  <c r="AG52" i="3"/>
  <c r="AF52" i="3"/>
  <c r="AE52" i="3"/>
  <c r="AD52" i="3"/>
  <c r="Z52" i="3"/>
  <c r="H52" i="3"/>
  <c r="AL52" i="3" s="1"/>
  <c r="BJ51" i="3"/>
  <c r="BF51" i="3"/>
  <c r="BD51" i="3"/>
  <c r="AX51" i="3"/>
  <c r="AP51" i="3"/>
  <c r="BI51" i="3" s="1"/>
  <c r="AC51" i="3" s="1"/>
  <c r="AO51" i="3"/>
  <c r="AW51" i="3" s="1"/>
  <c r="AK51" i="3"/>
  <c r="AJ51" i="3"/>
  <c r="AH51" i="3"/>
  <c r="AG51" i="3"/>
  <c r="AF51" i="3"/>
  <c r="AE51" i="3"/>
  <c r="AD51" i="3"/>
  <c r="Z51" i="3"/>
  <c r="H51" i="3"/>
  <c r="AL51" i="3" s="1"/>
  <c r="BJ49" i="3"/>
  <c r="BF49" i="3"/>
  <c r="BD49" i="3"/>
  <c r="AP49" i="3"/>
  <c r="BI49" i="3" s="1"/>
  <c r="AC49" i="3" s="1"/>
  <c r="AO49" i="3"/>
  <c r="BH49" i="3" s="1"/>
  <c r="AB49" i="3" s="1"/>
  <c r="AK49" i="3"/>
  <c r="AT48" i="3" s="1"/>
  <c r="AJ49" i="3"/>
  <c r="AS48" i="3" s="1"/>
  <c r="AH49" i="3"/>
  <c r="AG49" i="3"/>
  <c r="AF49" i="3"/>
  <c r="AE49" i="3"/>
  <c r="AD49" i="3"/>
  <c r="Z49" i="3"/>
  <c r="H49" i="3"/>
  <c r="H48" i="3" s="1"/>
  <c r="BJ47" i="3"/>
  <c r="BF47" i="3"/>
  <c r="BD47" i="3"/>
  <c r="AX47" i="3"/>
  <c r="AP47" i="3"/>
  <c r="BI47" i="3" s="1"/>
  <c r="AC47" i="3" s="1"/>
  <c r="AO47" i="3"/>
  <c r="BH47" i="3" s="1"/>
  <c r="AB47" i="3" s="1"/>
  <c r="AK47" i="3"/>
  <c r="AJ47" i="3"/>
  <c r="AH47" i="3"/>
  <c r="AG47" i="3"/>
  <c r="AF47" i="3"/>
  <c r="AE47" i="3"/>
  <c r="AD47" i="3"/>
  <c r="Z47" i="3"/>
  <c r="H47" i="3"/>
  <c r="AL47" i="3" s="1"/>
  <c r="BJ46" i="3"/>
  <c r="BF46" i="3"/>
  <c r="BD46" i="3"/>
  <c r="AP46" i="3"/>
  <c r="AX46" i="3" s="1"/>
  <c r="AO46" i="3"/>
  <c r="BH46" i="3" s="1"/>
  <c r="AB46" i="3" s="1"/>
  <c r="AK46" i="3"/>
  <c r="AJ46" i="3"/>
  <c r="AS44" i="3" s="1"/>
  <c r="AH46" i="3"/>
  <c r="AG46" i="3"/>
  <c r="AF46" i="3"/>
  <c r="AE46" i="3"/>
  <c r="AD46" i="3"/>
  <c r="Z46" i="3"/>
  <c r="H46" i="3"/>
  <c r="AL46" i="3" s="1"/>
  <c r="BJ45" i="3"/>
  <c r="BF45" i="3"/>
  <c r="BD45" i="3"/>
  <c r="AP45" i="3"/>
  <c r="BI45" i="3" s="1"/>
  <c r="AC45" i="3" s="1"/>
  <c r="AO45" i="3"/>
  <c r="AW45" i="3" s="1"/>
  <c r="AK45" i="3"/>
  <c r="AJ45" i="3"/>
  <c r="AH45" i="3"/>
  <c r="AG45" i="3"/>
  <c r="AF45" i="3"/>
  <c r="AE45" i="3"/>
  <c r="AD45" i="3"/>
  <c r="Z45" i="3"/>
  <c r="H45" i="3"/>
  <c r="AL45" i="3" s="1"/>
  <c r="BJ43" i="3"/>
  <c r="BF43" i="3"/>
  <c r="BD43" i="3"/>
  <c r="AP43" i="3"/>
  <c r="BI43" i="3" s="1"/>
  <c r="AC43" i="3" s="1"/>
  <c r="AO43" i="3"/>
  <c r="BH43" i="3" s="1"/>
  <c r="AB43" i="3" s="1"/>
  <c r="AK43" i="3"/>
  <c r="AJ43" i="3"/>
  <c r="AH43" i="3"/>
  <c r="AG43" i="3"/>
  <c r="AF43" i="3"/>
  <c r="AE43" i="3"/>
  <c r="AD43" i="3"/>
  <c r="Z43" i="3"/>
  <c r="H43" i="3"/>
  <c r="AL43" i="3" s="1"/>
  <c r="BJ42" i="3"/>
  <c r="BF42" i="3"/>
  <c r="BD42" i="3"/>
  <c r="AP42" i="3"/>
  <c r="BI42" i="3" s="1"/>
  <c r="AC42" i="3" s="1"/>
  <c r="AO42" i="3"/>
  <c r="BH42" i="3" s="1"/>
  <c r="AB42" i="3" s="1"/>
  <c r="AK42" i="3"/>
  <c r="AJ42" i="3"/>
  <c r="AH42" i="3"/>
  <c r="AG42" i="3"/>
  <c r="AF42" i="3"/>
  <c r="AE42" i="3"/>
  <c r="AD42" i="3"/>
  <c r="Z42" i="3"/>
  <c r="H42" i="3"/>
  <c r="AL42" i="3" s="1"/>
  <c r="BJ41" i="3"/>
  <c r="BF41" i="3"/>
  <c r="BD41" i="3"/>
  <c r="AP41" i="3"/>
  <c r="AX41" i="3" s="1"/>
  <c r="AO41" i="3"/>
  <c r="BH41" i="3" s="1"/>
  <c r="AB41" i="3" s="1"/>
  <c r="AL41" i="3"/>
  <c r="AK41" i="3"/>
  <c r="AJ41" i="3"/>
  <c r="AH41" i="3"/>
  <c r="AG41" i="3"/>
  <c r="AF41" i="3"/>
  <c r="AE41" i="3"/>
  <c r="AD41" i="3"/>
  <c r="Z41" i="3"/>
  <c r="H41" i="3"/>
  <c r="BJ40" i="3"/>
  <c r="BF40" i="3"/>
  <c r="BD40" i="3"/>
  <c r="AX40" i="3"/>
  <c r="AP40" i="3"/>
  <c r="BI40" i="3" s="1"/>
  <c r="AC40" i="3" s="1"/>
  <c r="AO40" i="3"/>
  <c r="AW40" i="3" s="1"/>
  <c r="AK40" i="3"/>
  <c r="AJ40" i="3"/>
  <c r="AH40" i="3"/>
  <c r="AG40" i="3"/>
  <c r="AF40" i="3"/>
  <c r="AE40" i="3"/>
  <c r="AD40" i="3"/>
  <c r="Z40" i="3"/>
  <c r="H40" i="3"/>
  <c r="AL40" i="3" s="1"/>
  <c r="BJ38" i="3"/>
  <c r="BF38" i="3"/>
  <c r="BD38" i="3"/>
  <c r="AW38" i="3"/>
  <c r="AP38" i="3"/>
  <c r="BI38" i="3" s="1"/>
  <c r="AC38" i="3" s="1"/>
  <c r="AO38" i="3"/>
  <c r="BH38" i="3" s="1"/>
  <c r="AB38" i="3" s="1"/>
  <c r="AK38" i="3"/>
  <c r="AJ38" i="3"/>
  <c r="AH38" i="3"/>
  <c r="AG38" i="3"/>
  <c r="AF38" i="3"/>
  <c r="AE38" i="3"/>
  <c r="AD38" i="3"/>
  <c r="Z38" i="3"/>
  <c r="H38" i="3"/>
  <c r="AL38" i="3" s="1"/>
  <c r="BJ37" i="3"/>
  <c r="BF37" i="3"/>
  <c r="BD37" i="3"/>
  <c r="AX37" i="3"/>
  <c r="AP37" i="3"/>
  <c r="BI37" i="3" s="1"/>
  <c r="AC37" i="3" s="1"/>
  <c r="AO37" i="3"/>
  <c r="BH37" i="3" s="1"/>
  <c r="AB37" i="3" s="1"/>
  <c r="AK37" i="3"/>
  <c r="AJ37" i="3"/>
  <c r="AH37" i="3"/>
  <c r="AG37" i="3"/>
  <c r="AF37" i="3"/>
  <c r="AE37" i="3"/>
  <c r="AD37" i="3"/>
  <c r="Z37" i="3"/>
  <c r="H37" i="3"/>
  <c r="AL37" i="3" s="1"/>
  <c r="BJ36" i="3"/>
  <c r="BF36" i="3"/>
  <c r="BD36" i="3"/>
  <c r="AP36" i="3"/>
  <c r="AX36" i="3" s="1"/>
  <c r="AO36" i="3"/>
  <c r="BH36" i="3" s="1"/>
  <c r="AK36" i="3"/>
  <c r="AJ36" i="3"/>
  <c r="AH36" i="3"/>
  <c r="AG36" i="3"/>
  <c r="AF36" i="3"/>
  <c r="AE36" i="3"/>
  <c r="AD36" i="3"/>
  <c r="AC36" i="3"/>
  <c r="AB36" i="3"/>
  <c r="Z36" i="3"/>
  <c r="H36" i="3"/>
  <c r="AL36" i="3" s="1"/>
  <c r="BJ35" i="3"/>
  <c r="BF35" i="3"/>
  <c r="BD35" i="3"/>
  <c r="AP35" i="3"/>
  <c r="BI35" i="3" s="1"/>
  <c r="AC35" i="3" s="1"/>
  <c r="AO35" i="3"/>
  <c r="AW35" i="3" s="1"/>
  <c r="AK35" i="3"/>
  <c r="AJ35" i="3"/>
  <c r="AH35" i="3"/>
  <c r="AG35" i="3"/>
  <c r="AF35" i="3"/>
  <c r="AE35" i="3"/>
  <c r="AD35" i="3"/>
  <c r="Z35" i="3"/>
  <c r="H35" i="3"/>
  <c r="AL35" i="3" s="1"/>
  <c r="BJ34" i="3"/>
  <c r="BF34" i="3"/>
  <c r="BD34" i="3"/>
  <c r="AP34" i="3"/>
  <c r="BI34" i="3" s="1"/>
  <c r="AC34" i="3" s="1"/>
  <c r="AO34" i="3"/>
  <c r="BH34" i="3" s="1"/>
  <c r="AB34" i="3" s="1"/>
  <c r="AL34" i="3"/>
  <c r="AK34" i="3"/>
  <c r="AJ34" i="3"/>
  <c r="AH34" i="3"/>
  <c r="AG34" i="3"/>
  <c r="AF34" i="3"/>
  <c r="AE34" i="3"/>
  <c r="AD34" i="3"/>
  <c r="Z34" i="3"/>
  <c r="H34" i="3"/>
  <c r="BJ33" i="3"/>
  <c r="BF33" i="3"/>
  <c r="BD33" i="3"/>
  <c r="AP33" i="3"/>
  <c r="BI33" i="3" s="1"/>
  <c r="AC33" i="3" s="1"/>
  <c r="AO33" i="3"/>
  <c r="BH33" i="3" s="1"/>
  <c r="AB33" i="3" s="1"/>
  <c r="AK33" i="3"/>
  <c r="AJ33" i="3"/>
  <c r="AH33" i="3"/>
  <c r="AG33" i="3"/>
  <c r="AF33" i="3"/>
  <c r="AE33" i="3"/>
  <c r="AD33" i="3"/>
  <c r="Z33" i="3"/>
  <c r="H33" i="3"/>
  <c r="AL33" i="3" s="1"/>
  <c r="BJ31" i="3"/>
  <c r="BF31" i="3"/>
  <c r="BD31" i="3"/>
  <c r="AP31" i="3"/>
  <c r="AX31" i="3" s="1"/>
  <c r="AO31" i="3"/>
  <c r="BH31" i="3" s="1"/>
  <c r="AB31" i="3" s="1"/>
  <c r="AL31" i="3"/>
  <c r="AK31" i="3"/>
  <c r="AJ31" i="3"/>
  <c r="AH31" i="3"/>
  <c r="AG31" i="3"/>
  <c r="AF31" i="3"/>
  <c r="AE31" i="3"/>
  <c r="AD31" i="3"/>
  <c r="Z31" i="3"/>
  <c r="H31" i="3"/>
  <c r="BJ30" i="3"/>
  <c r="BF30" i="3"/>
  <c r="BD30" i="3"/>
  <c r="AX30" i="3"/>
  <c r="AP30" i="3"/>
  <c r="BI30" i="3" s="1"/>
  <c r="AC30" i="3" s="1"/>
  <c r="AO30" i="3"/>
  <c r="AW30" i="3" s="1"/>
  <c r="AK30" i="3"/>
  <c r="AT29" i="3" s="1"/>
  <c r="AJ30" i="3"/>
  <c r="AH30" i="3"/>
  <c r="AG30" i="3"/>
  <c r="AF30" i="3"/>
  <c r="AE30" i="3"/>
  <c r="AD30" i="3"/>
  <c r="Z30" i="3"/>
  <c r="H30" i="3"/>
  <c r="AL30" i="3" s="1"/>
  <c r="AU29" i="3" s="1"/>
  <c r="BJ28" i="3"/>
  <c r="BF28" i="3"/>
  <c r="BD28" i="3"/>
  <c r="AP28" i="3"/>
  <c r="BI28" i="3" s="1"/>
  <c r="AC28" i="3" s="1"/>
  <c r="AO28" i="3"/>
  <c r="BH28" i="3" s="1"/>
  <c r="AB28" i="3" s="1"/>
  <c r="AK28" i="3"/>
  <c r="AJ28" i="3"/>
  <c r="AH28" i="3"/>
  <c r="AG28" i="3"/>
  <c r="AF28" i="3"/>
  <c r="AE28" i="3"/>
  <c r="AD28" i="3"/>
  <c r="Z28" i="3"/>
  <c r="H28" i="3"/>
  <c r="AL28" i="3" s="1"/>
  <c r="BJ27" i="3"/>
  <c r="BF27" i="3"/>
  <c r="BD27" i="3"/>
  <c r="AP27" i="3"/>
  <c r="BI27" i="3" s="1"/>
  <c r="AC27" i="3" s="1"/>
  <c r="AO27" i="3"/>
  <c r="BH27" i="3" s="1"/>
  <c r="AB27" i="3" s="1"/>
  <c r="AK27" i="3"/>
  <c r="AJ27" i="3"/>
  <c r="AH27" i="3"/>
  <c r="AG27" i="3"/>
  <c r="AF27" i="3"/>
  <c r="AE27" i="3"/>
  <c r="AD27" i="3"/>
  <c r="Z27" i="3"/>
  <c r="H27" i="3"/>
  <c r="AL27" i="3" s="1"/>
  <c r="BJ26" i="3"/>
  <c r="BF26" i="3"/>
  <c r="BD26" i="3"/>
  <c r="AP26" i="3"/>
  <c r="AX26" i="3" s="1"/>
  <c r="AO26" i="3"/>
  <c r="BH26" i="3" s="1"/>
  <c r="AB26" i="3" s="1"/>
  <c r="AL26" i="3"/>
  <c r="AK26" i="3"/>
  <c r="AJ26" i="3"/>
  <c r="AH26" i="3"/>
  <c r="AG26" i="3"/>
  <c r="AF26" i="3"/>
  <c r="AE26" i="3"/>
  <c r="AD26" i="3"/>
  <c r="Z26" i="3"/>
  <c r="H26" i="3"/>
  <c r="BJ25" i="3"/>
  <c r="BF25" i="3"/>
  <c r="BD25" i="3"/>
  <c r="AX25" i="3"/>
  <c r="AP25" i="3"/>
  <c r="BI25" i="3" s="1"/>
  <c r="AC25" i="3" s="1"/>
  <c r="AO25" i="3"/>
  <c r="AW25" i="3" s="1"/>
  <c r="AK25" i="3"/>
  <c r="AJ25" i="3"/>
  <c r="AH25" i="3"/>
  <c r="AG25" i="3"/>
  <c r="AF25" i="3"/>
  <c r="AE25" i="3"/>
  <c r="AD25" i="3"/>
  <c r="Z25" i="3"/>
  <c r="H25" i="3"/>
  <c r="AL25" i="3" s="1"/>
  <c r="BJ24" i="3"/>
  <c r="BF24" i="3"/>
  <c r="BD24" i="3"/>
  <c r="AW24" i="3"/>
  <c r="AP24" i="3"/>
  <c r="BI24" i="3" s="1"/>
  <c r="AC24" i="3" s="1"/>
  <c r="AO24" i="3"/>
  <c r="BH24" i="3" s="1"/>
  <c r="AB24" i="3" s="1"/>
  <c r="AK24" i="3"/>
  <c r="AJ24" i="3"/>
  <c r="AH24" i="3"/>
  <c r="AG24" i="3"/>
  <c r="AF24" i="3"/>
  <c r="AE24" i="3"/>
  <c r="AD24" i="3"/>
  <c r="Z24" i="3"/>
  <c r="H24" i="3"/>
  <c r="AL24" i="3" s="1"/>
  <c r="BJ23" i="3"/>
  <c r="BF23" i="3"/>
  <c r="BD23" i="3"/>
  <c r="AX23" i="3"/>
  <c r="AP23" i="3"/>
  <c r="BI23" i="3" s="1"/>
  <c r="AC23" i="3" s="1"/>
  <c r="AO23" i="3"/>
  <c r="BH23" i="3" s="1"/>
  <c r="AB23" i="3" s="1"/>
  <c r="AK23" i="3"/>
  <c r="AJ23" i="3"/>
  <c r="AS21" i="3" s="1"/>
  <c r="AH23" i="3"/>
  <c r="AG23" i="3"/>
  <c r="AF23" i="3"/>
  <c r="AE23" i="3"/>
  <c r="AD23" i="3"/>
  <c r="Z23" i="3"/>
  <c r="H23" i="3"/>
  <c r="BJ22" i="3"/>
  <c r="BF22" i="3"/>
  <c r="BD22" i="3"/>
  <c r="AP22" i="3"/>
  <c r="AX22" i="3" s="1"/>
  <c r="AO22" i="3"/>
  <c r="BH22" i="3" s="1"/>
  <c r="AB22" i="3" s="1"/>
  <c r="AK22" i="3"/>
  <c r="AJ22" i="3"/>
  <c r="AH22" i="3"/>
  <c r="AG22" i="3"/>
  <c r="AF22" i="3"/>
  <c r="AE22" i="3"/>
  <c r="AD22" i="3"/>
  <c r="Z22" i="3"/>
  <c r="H22" i="3"/>
  <c r="AL22" i="3" s="1"/>
  <c r="BJ20" i="3"/>
  <c r="BF20" i="3"/>
  <c r="BD20" i="3"/>
  <c r="AX20" i="3"/>
  <c r="AP20" i="3"/>
  <c r="BI20" i="3" s="1"/>
  <c r="AC20" i="3" s="1"/>
  <c r="AO20" i="3"/>
  <c r="AW20" i="3" s="1"/>
  <c r="AK20" i="3"/>
  <c r="AJ20" i="3"/>
  <c r="AH20" i="3"/>
  <c r="AG20" i="3"/>
  <c r="AF20" i="3"/>
  <c r="AE20" i="3"/>
  <c r="AD20" i="3"/>
  <c r="Z20" i="3"/>
  <c r="H20" i="3"/>
  <c r="AL20" i="3" s="1"/>
  <c r="BJ19" i="3"/>
  <c r="BF19" i="3"/>
  <c r="BD19" i="3"/>
  <c r="AP19" i="3"/>
  <c r="BI19" i="3" s="1"/>
  <c r="AC19" i="3" s="1"/>
  <c r="AO19" i="3"/>
  <c r="BH19" i="3" s="1"/>
  <c r="AB19" i="3" s="1"/>
  <c r="AK19" i="3"/>
  <c r="AJ19" i="3"/>
  <c r="AH19" i="3"/>
  <c r="AG19" i="3"/>
  <c r="AF19" i="3"/>
  <c r="AE19" i="3"/>
  <c r="AD19" i="3"/>
  <c r="Z19" i="3"/>
  <c r="H19" i="3"/>
  <c r="AL19" i="3" s="1"/>
  <c r="BJ18" i="3"/>
  <c r="BF18" i="3"/>
  <c r="BD18" i="3"/>
  <c r="AP18" i="3"/>
  <c r="BI18" i="3" s="1"/>
  <c r="AC18" i="3" s="1"/>
  <c r="AO18" i="3"/>
  <c r="BH18" i="3" s="1"/>
  <c r="AB18" i="3" s="1"/>
  <c r="AK18" i="3"/>
  <c r="AJ18" i="3"/>
  <c r="AH18" i="3"/>
  <c r="AG18" i="3"/>
  <c r="AF18" i="3"/>
  <c r="AE18" i="3"/>
  <c r="AD18" i="3"/>
  <c r="Z18" i="3"/>
  <c r="H18" i="3"/>
  <c r="AL18" i="3" s="1"/>
  <c r="BJ17" i="3"/>
  <c r="BF17" i="3"/>
  <c r="BD17" i="3"/>
  <c r="AP17" i="3"/>
  <c r="AX17" i="3" s="1"/>
  <c r="AO17" i="3"/>
  <c r="BH17" i="3" s="1"/>
  <c r="AB17" i="3" s="1"/>
  <c r="AK17" i="3"/>
  <c r="AJ17" i="3"/>
  <c r="AH17" i="3"/>
  <c r="AG17" i="3"/>
  <c r="AF17" i="3"/>
  <c r="AE17" i="3"/>
  <c r="AD17" i="3"/>
  <c r="Z17" i="3"/>
  <c r="H17" i="3"/>
  <c r="AL17" i="3" s="1"/>
  <c r="BJ16" i="3"/>
  <c r="BF16" i="3"/>
  <c r="BD16" i="3"/>
  <c r="AP16" i="3"/>
  <c r="BI16" i="3" s="1"/>
  <c r="AC16" i="3" s="1"/>
  <c r="AO16" i="3"/>
  <c r="AW16" i="3" s="1"/>
  <c r="AK16" i="3"/>
  <c r="AJ16" i="3"/>
  <c r="AH16" i="3"/>
  <c r="AG16" i="3"/>
  <c r="AF16" i="3"/>
  <c r="AE16" i="3"/>
  <c r="AD16" i="3"/>
  <c r="Z16" i="3"/>
  <c r="H16" i="3"/>
  <c r="AL16" i="3" s="1"/>
  <c r="BJ15" i="3"/>
  <c r="BF15" i="3"/>
  <c r="BD15" i="3"/>
  <c r="AP15" i="3"/>
  <c r="BI15" i="3" s="1"/>
  <c r="AC15" i="3" s="1"/>
  <c r="AO15" i="3"/>
  <c r="BH15" i="3" s="1"/>
  <c r="AB15" i="3" s="1"/>
  <c r="AL15" i="3"/>
  <c r="AK15" i="3"/>
  <c r="AJ15" i="3"/>
  <c r="AH15" i="3"/>
  <c r="AG15" i="3"/>
  <c r="AF15" i="3"/>
  <c r="AE15" i="3"/>
  <c r="AD15" i="3"/>
  <c r="Z15" i="3"/>
  <c r="H15" i="3"/>
  <c r="BJ14" i="3"/>
  <c r="BF14" i="3"/>
  <c r="BD14" i="3"/>
  <c r="AP14" i="3"/>
  <c r="BI14" i="3" s="1"/>
  <c r="AC14" i="3" s="1"/>
  <c r="AO14" i="3"/>
  <c r="BH14" i="3" s="1"/>
  <c r="AB14" i="3" s="1"/>
  <c r="AK14" i="3"/>
  <c r="AT13" i="3" s="1"/>
  <c r="AJ14" i="3"/>
  <c r="AH14" i="3"/>
  <c r="AG14" i="3"/>
  <c r="AF14" i="3"/>
  <c r="AE14" i="3"/>
  <c r="AD14" i="3"/>
  <c r="Z14" i="3"/>
  <c r="H14" i="3"/>
  <c r="AL14" i="3" s="1"/>
  <c r="AU1" i="3"/>
  <c r="AT1" i="3"/>
  <c r="AS1" i="3"/>
  <c r="I35" i="2"/>
  <c r="I36" i="2" s="1"/>
  <c r="I24" i="1" s="1"/>
  <c r="I26" i="2"/>
  <c r="I25" i="2"/>
  <c r="I18" i="1" s="1"/>
  <c r="I24" i="2"/>
  <c r="I23" i="2"/>
  <c r="I16" i="1" s="1"/>
  <c r="I22" i="2"/>
  <c r="I17" i="2"/>
  <c r="I16" i="2"/>
  <c r="F15" i="1" s="1"/>
  <c r="I15" i="2"/>
  <c r="I10" i="2"/>
  <c r="F10" i="2"/>
  <c r="C10" i="2"/>
  <c r="F8" i="2"/>
  <c r="C8" i="2"/>
  <c r="F6" i="2"/>
  <c r="C6" i="2"/>
  <c r="F4" i="2"/>
  <c r="C4" i="2"/>
  <c r="F2" i="2"/>
  <c r="C2" i="2"/>
  <c r="I19" i="1"/>
  <c r="I17" i="1"/>
  <c r="F16" i="1"/>
  <c r="I15" i="1"/>
  <c r="F14" i="1"/>
  <c r="F22" i="1" s="1"/>
  <c r="I10" i="1"/>
  <c r="F10" i="1"/>
  <c r="C10" i="1"/>
  <c r="F8" i="1"/>
  <c r="C8" i="1"/>
  <c r="F6" i="1"/>
  <c r="C6" i="1"/>
  <c r="F4" i="1"/>
  <c r="C4" i="1"/>
  <c r="F2" i="1"/>
  <c r="C2" i="1"/>
  <c r="BI89" i="3" l="1"/>
  <c r="AE89" i="3" s="1"/>
  <c r="AW246" i="3"/>
  <c r="BH246" i="3"/>
  <c r="AD246" i="3" s="1"/>
  <c r="BI305" i="3"/>
  <c r="AC305" i="3" s="1"/>
  <c r="AX305" i="3"/>
  <c r="AX345" i="3"/>
  <c r="BI345" i="3"/>
  <c r="AG345" i="3" s="1"/>
  <c r="BI347" i="3"/>
  <c r="AG347" i="3" s="1"/>
  <c r="AX347" i="3"/>
  <c r="BH355" i="3"/>
  <c r="AF355" i="3" s="1"/>
  <c r="BH382" i="3"/>
  <c r="AF382" i="3" s="1"/>
  <c r="AW382" i="3"/>
  <c r="AX404" i="3"/>
  <c r="BI404" i="3"/>
  <c r="AG404" i="3" s="1"/>
  <c r="BI449" i="3"/>
  <c r="AX449" i="3"/>
  <c r="AU39" i="3"/>
  <c r="BH136" i="3"/>
  <c r="AD136" i="3" s="1"/>
  <c r="AW136" i="3"/>
  <c r="BI140" i="3"/>
  <c r="AE140" i="3" s="1"/>
  <c r="AX140" i="3"/>
  <c r="BI143" i="3"/>
  <c r="AE143" i="3" s="1"/>
  <c r="AX143" i="3"/>
  <c r="BI163" i="3"/>
  <c r="AE163" i="3" s="1"/>
  <c r="AX163" i="3"/>
  <c r="BI203" i="3"/>
  <c r="AE203" i="3" s="1"/>
  <c r="AX203" i="3"/>
  <c r="AX33" i="3"/>
  <c r="AW34" i="3"/>
  <c r="AW36" i="3"/>
  <c r="AW49" i="3"/>
  <c r="BI68" i="3"/>
  <c r="AC68" i="3" s="1"/>
  <c r="BI77" i="3"/>
  <c r="AC77" i="3" s="1"/>
  <c r="AV84" i="3"/>
  <c r="BI87" i="3"/>
  <c r="AE87" i="3" s="1"/>
  <c r="AW89" i="3"/>
  <c r="AV89" i="3" s="1"/>
  <c r="AV92" i="3"/>
  <c r="BI92" i="3"/>
  <c r="AE92" i="3" s="1"/>
  <c r="AX102" i="3"/>
  <c r="AV102" i="3" s="1"/>
  <c r="AX106" i="3"/>
  <c r="AW107" i="3"/>
  <c r="AX110" i="3"/>
  <c r="AX116" i="3"/>
  <c r="AX121" i="3"/>
  <c r="AW122" i="3"/>
  <c r="BC122" i="3" s="1"/>
  <c r="AW126" i="3"/>
  <c r="BC126" i="3" s="1"/>
  <c r="AW130" i="3"/>
  <c r="BC130" i="3" s="1"/>
  <c r="AW134" i="3"/>
  <c r="BC134" i="3" s="1"/>
  <c r="BI168" i="3"/>
  <c r="AE168" i="3" s="1"/>
  <c r="BH173" i="3"/>
  <c r="AD173" i="3" s="1"/>
  <c r="AW173" i="3"/>
  <c r="BH202" i="3"/>
  <c r="AD202" i="3" s="1"/>
  <c r="AW202" i="3"/>
  <c r="BI229" i="3"/>
  <c r="AE229" i="3" s="1"/>
  <c r="AX229" i="3"/>
  <c r="BH259" i="3"/>
  <c r="AD259" i="3" s="1"/>
  <c r="AW259" i="3"/>
  <c r="AW313" i="3"/>
  <c r="BH313" i="3"/>
  <c r="AB313" i="3" s="1"/>
  <c r="BH316" i="3"/>
  <c r="AB316" i="3" s="1"/>
  <c r="AW316" i="3"/>
  <c r="BH342" i="3"/>
  <c r="AF342" i="3" s="1"/>
  <c r="AW342" i="3"/>
  <c r="BI352" i="3"/>
  <c r="AG352" i="3" s="1"/>
  <c r="AX352" i="3"/>
  <c r="BI361" i="3"/>
  <c r="AG361" i="3" s="1"/>
  <c r="AX361" i="3"/>
  <c r="BI374" i="3"/>
  <c r="AG374" i="3" s="1"/>
  <c r="AX374" i="3"/>
  <c r="BI386" i="3"/>
  <c r="AG386" i="3" s="1"/>
  <c r="AX386" i="3"/>
  <c r="BH397" i="3"/>
  <c r="AF397" i="3" s="1"/>
  <c r="AW397" i="3"/>
  <c r="BH417" i="3"/>
  <c r="AB417" i="3" s="1"/>
  <c r="AW417" i="3"/>
  <c r="BC417" i="3" s="1"/>
  <c r="BI457" i="3"/>
  <c r="AX457" i="3"/>
  <c r="AW15" i="3"/>
  <c r="AW26" i="3"/>
  <c r="AV26" i="3" s="1"/>
  <c r="AW31" i="3"/>
  <c r="AV31" i="3" s="1"/>
  <c r="AT32" i="3"/>
  <c r="AS57" i="3"/>
  <c r="AV62" i="3"/>
  <c r="AW73" i="3"/>
  <c r="BH75" i="3"/>
  <c r="AB75" i="3" s="1"/>
  <c r="AW94" i="3"/>
  <c r="BI95" i="3"/>
  <c r="AE95" i="3" s="1"/>
  <c r="AW105" i="3"/>
  <c r="AV105" i="3" s="1"/>
  <c r="AW120" i="3"/>
  <c r="BI141" i="3"/>
  <c r="AE141" i="3" s="1"/>
  <c r="AX141" i="3"/>
  <c r="AS142" i="3"/>
  <c r="BC152" i="3"/>
  <c r="AV152" i="3"/>
  <c r="BI179" i="3"/>
  <c r="AE179" i="3" s="1"/>
  <c r="AX179" i="3"/>
  <c r="BC179" i="3" s="1"/>
  <c r="BI199" i="3"/>
  <c r="AE199" i="3" s="1"/>
  <c r="AX199" i="3"/>
  <c r="BI207" i="3"/>
  <c r="AE207" i="3" s="1"/>
  <c r="AX207" i="3"/>
  <c r="BI332" i="3"/>
  <c r="AC332" i="3" s="1"/>
  <c r="BH370" i="3"/>
  <c r="AF370" i="3" s="1"/>
  <c r="AW370" i="3"/>
  <c r="AT388" i="3"/>
  <c r="AW437" i="3"/>
  <c r="BH437" i="3"/>
  <c r="AF437" i="3" s="1"/>
  <c r="BH295" i="3"/>
  <c r="AD295" i="3" s="1"/>
  <c r="AU293" i="3"/>
  <c r="BI135" i="3"/>
  <c r="AE135" i="3" s="1"/>
  <c r="AX135" i="3"/>
  <c r="BH143" i="3"/>
  <c r="AD143" i="3" s="1"/>
  <c r="AW146" i="3"/>
  <c r="BH146" i="3"/>
  <c r="AD146" i="3" s="1"/>
  <c r="BH164" i="3"/>
  <c r="AD164" i="3" s="1"/>
  <c r="AW164" i="3"/>
  <c r="BI170" i="3"/>
  <c r="AE170" i="3" s="1"/>
  <c r="AX170" i="3"/>
  <c r="BH208" i="3"/>
  <c r="AD208" i="3" s="1"/>
  <c r="BI230" i="3"/>
  <c r="AE230" i="3" s="1"/>
  <c r="AX230" i="3"/>
  <c r="BH258" i="3"/>
  <c r="AD258" i="3" s="1"/>
  <c r="AW258" i="3"/>
  <c r="BH278" i="3"/>
  <c r="AD278" i="3" s="1"/>
  <c r="BH309" i="3"/>
  <c r="AB309" i="3" s="1"/>
  <c r="BH311" i="3"/>
  <c r="AB311" i="3" s="1"/>
  <c r="AW311" i="3"/>
  <c r="BH322" i="3"/>
  <c r="AB322" i="3" s="1"/>
  <c r="AW322" i="3"/>
  <c r="BH338" i="3"/>
  <c r="AF338" i="3" s="1"/>
  <c r="AW338" i="3"/>
  <c r="AX391" i="3"/>
  <c r="BI391" i="3"/>
  <c r="AG391" i="3" s="1"/>
  <c r="AW406" i="3"/>
  <c r="BH406" i="3"/>
  <c r="AF406" i="3" s="1"/>
  <c r="BI455" i="3"/>
  <c r="AX455" i="3"/>
  <c r="BC295" i="3"/>
  <c r="AV295" i="3"/>
  <c r="BC294" i="3"/>
  <c r="AV294" i="3"/>
  <c r="H293" i="3"/>
  <c r="BI164" i="3"/>
  <c r="AE164" i="3" s="1"/>
  <c r="AV168" i="3"/>
  <c r="H198" i="3"/>
  <c r="AW207" i="3"/>
  <c r="AW228" i="3"/>
  <c r="AW267" i="3"/>
  <c r="BI358" i="3"/>
  <c r="AG358" i="3" s="1"/>
  <c r="BH366" i="3"/>
  <c r="AF366" i="3" s="1"/>
  <c r="BI407" i="3"/>
  <c r="AG407" i="3" s="1"/>
  <c r="AW448" i="3"/>
  <c r="AX150" i="3"/>
  <c r="BC155" i="3"/>
  <c r="AX178" i="3"/>
  <c r="BH186" i="3"/>
  <c r="AD186" i="3" s="1"/>
  <c r="AL199" i="3"/>
  <c r="BH221" i="3"/>
  <c r="AD221" i="3" s="1"/>
  <c r="BI265" i="3"/>
  <c r="AE265" i="3" s="1"/>
  <c r="BI319" i="3"/>
  <c r="AC319" i="3" s="1"/>
  <c r="BI349" i="3"/>
  <c r="AG349" i="3" s="1"/>
  <c r="BH398" i="3"/>
  <c r="AF398" i="3" s="1"/>
  <c r="BH400" i="3"/>
  <c r="AF400" i="3" s="1"/>
  <c r="BH402" i="3"/>
  <c r="AF402" i="3" s="1"/>
  <c r="AX414" i="3"/>
  <c r="BH425" i="3"/>
  <c r="AF425" i="3" s="1"/>
  <c r="AX459" i="3"/>
  <c r="BC459" i="3" s="1"/>
  <c r="BH154" i="3"/>
  <c r="AD154" i="3" s="1"/>
  <c r="AX226" i="3"/>
  <c r="AX235" i="3"/>
  <c r="AS247" i="3"/>
  <c r="AX252" i="3"/>
  <c r="AU272" i="3"/>
  <c r="AX277" i="3"/>
  <c r="AW286" i="3"/>
  <c r="AL303" i="3"/>
  <c r="AU302" i="3" s="1"/>
  <c r="BI310" i="3"/>
  <c r="AC310" i="3" s="1"/>
  <c r="AX311" i="3"/>
  <c r="AX322" i="3"/>
  <c r="AW336" i="3"/>
  <c r="AX370" i="3"/>
  <c r="AX381" i="3"/>
  <c r="AW393" i="3"/>
  <c r="BC393" i="3" s="1"/>
  <c r="AW408" i="3"/>
  <c r="AT409" i="3"/>
  <c r="AX418" i="3"/>
  <c r="AT421" i="3"/>
  <c r="BH424" i="3"/>
  <c r="AF424" i="3" s="1"/>
  <c r="AX427" i="3"/>
  <c r="AX298" i="3"/>
  <c r="BH96" i="3"/>
  <c r="AD96" i="3" s="1"/>
  <c r="BI200" i="3"/>
  <c r="AE200" i="3" s="1"/>
  <c r="BH250" i="3"/>
  <c r="AD250" i="3" s="1"/>
  <c r="AW250" i="3"/>
  <c r="BH264" i="3"/>
  <c r="AD264" i="3" s="1"/>
  <c r="AW264" i="3"/>
  <c r="BI297" i="3"/>
  <c r="AC297" i="3" s="1"/>
  <c r="AX297" i="3"/>
  <c r="BH300" i="3"/>
  <c r="AB300" i="3" s="1"/>
  <c r="AW300" i="3"/>
  <c r="AV300" i="3" s="1"/>
  <c r="AX18" i="3"/>
  <c r="AW19" i="3"/>
  <c r="AW22" i="3"/>
  <c r="AV22" i="3" s="1"/>
  <c r="H21" i="3"/>
  <c r="AT21" i="3"/>
  <c r="AS39" i="3"/>
  <c r="BC41" i="3"/>
  <c r="AX42" i="3"/>
  <c r="AW43" i="3"/>
  <c r="H44" i="3"/>
  <c r="AX45" i="3"/>
  <c r="BC45" i="3" s="1"/>
  <c r="AW46" i="3"/>
  <c r="AT44" i="3"/>
  <c r="AL49" i="3"/>
  <c r="AU48" i="3" s="1"/>
  <c r="AX55" i="3"/>
  <c r="AW56" i="3"/>
  <c r="AX58" i="3"/>
  <c r="AW59" i="3"/>
  <c r="BC62" i="3"/>
  <c r="AW69" i="3"/>
  <c r="BH70" i="3"/>
  <c r="AB70" i="3" s="1"/>
  <c r="AX75" i="3"/>
  <c r="AV75" i="3" s="1"/>
  <c r="AW79" i="3"/>
  <c r="AV79" i="3" s="1"/>
  <c r="AW81" i="3"/>
  <c r="BH88" i="3"/>
  <c r="AD88" i="3" s="1"/>
  <c r="BC89" i="3"/>
  <c r="BH91" i="3"/>
  <c r="AD91" i="3" s="1"/>
  <c r="BI93" i="3"/>
  <c r="AE93" i="3" s="1"/>
  <c r="BC98" i="3"/>
  <c r="BI101" i="3"/>
  <c r="AE101" i="3" s="1"/>
  <c r="BC102" i="3"/>
  <c r="AW103" i="3"/>
  <c r="BC103" i="3" s="1"/>
  <c r="BH104" i="3"/>
  <c r="AD104" i="3" s="1"/>
  <c r="BC106" i="3"/>
  <c r="BI109" i="3"/>
  <c r="AE109" i="3" s="1"/>
  <c r="AX112" i="3"/>
  <c r="AW113" i="3"/>
  <c r="AV113" i="3" s="1"/>
  <c r="AX114" i="3"/>
  <c r="AW115" i="3"/>
  <c r="H117" i="3"/>
  <c r="AT117" i="3"/>
  <c r="AT142" i="3"/>
  <c r="AW149" i="3"/>
  <c r="AX153" i="3"/>
  <c r="AX154" i="3"/>
  <c r="AS158" i="3"/>
  <c r="BH160" i="3"/>
  <c r="AD160" i="3" s="1"/>
  <c r="BI162" i="3"/>
  <c r="AE162" i="3" s="1"/>
  <c r="BH167" i="3"/>
  <c r="AD167" i="3" s="1"/>
  <c r="BC168" i="3"/>
  <c r="AW177" i="3"/>
  <c r="AW185" i="3"/>
  <c r="AX186" i="3"/>
  <c r="BH187" i="3"/>
  <c r="AD187" i="3" s="1"/>
  <c r="AW193" i="3"/>
  <c r="AW194" i="3"/>
  <c r="BH204" i="3"/>
  <c r="AD204" i="3" s="1"/>
  <c r="AX208" i="3"/>
  <c r="BC208" i="3" s="1"/>
  <c r="AW210" i="3"/>
  <c r="BI213" i="3"/>
  <c r="AE213" i="3" s="1"/>
  <c r="AW215" i="3"/>
  <c r="AX221" i="3"/>
  <c r="BC221" i="3" s="1"/>
  <c r="AW223" i="3"/>
  <c r="AT224" i="3"/>
  <c r="AW232" i="3"/>
  <c r="AW233" i="3"/>
  <c r="AW237" i="3"/>
  <c r="AW238" i="3"/>
  <c r="BH243" i="3"/>
  <c r="AD243" i="3" s="1"/>
  <c r="AW245" i="3"/>
  <c r="BI248" i="3"/>
  <c r="AE248" i="3" s="1"/>
  <c r="AX248" i="3"/>
  <c r="AT247" i="3"/>
  <c r="BH260" i="3"/>
  <c r="AD260" i="3" s="1"/>
  <c r="BI264" i="3"/>
  <c r="AE264" i="3" s="1"/>
  <c r="AX264" i="3"/>
  <c r="AS262" i="3"/>
  <c r="AX274" i="3"/>
  <c r="BI286" i="3"/>
  <c r="AE286" i="3" s="1"/>
  <c r="AX286" i="3"/>
  <c r="BC286" i="3" s="1"/>
  <c r="AL313" i="3"/>
  <c r="AU312" i="3" s="1"/>
  <c r="H312" i="3"/>
  <c r="BI317" i="3"/>
  <c r="AC317" i="3" s="1"/>
  <c r="AX317" i="3"/>
  <c r="BI325" i="3"/>
  <c r="AC325" i="3" s="1"/>
  <c r="AX325" i="3"/>
  <c r="BI340" i="3"/>
  <c r="AG340" i="3" s="1"/>
  <c r="AX340" i="3"/>
  <c r="BC340" i="3" s="1"/>
  <c r="BH343" i="3"/>
  <c r="AF343" i="3" s="1"/>
  <c r="AW343" i="3"/>
  <c r="BH351" i="3"/>
  <c r="AF351" i="3" s="1"/>
  <c r="AW351" i="3"/>
  <c r="BC46" i="3"/>
  <c r="BC56" i="3"/>
  <c r="BI79" i="3"/>
  <c r="AE79" i="3" s="1"/>
  <c r="AV95" i="3"/>
  <c r="BI113" i="3"/>
  <c r="AE113" i="3" s="1"/>
  <c r="BI256" i="3"/>
  <c r="AE256" i="3" s="1"/>
  <c r="AX256" i="3"/>
  <c r="BI282" i="3"/>
  <c r="AE282" i="3" s="1"/>
  <c r="AX282" i="3"/>
  <c r="BC282" i="3" s="1"/>
  <c r="BI326" i="3"/>
  <c r="AC326" i="3" s="1"/>
  <c r="AX326" i="3"/>
  <c r="AS13" i="3"/>
  <c r="AX16" i="3"/>
  <c r="BC16" i="3" s="1"/>
  <c r="AW17" i="3"/>
  <c r="AV17" i="3" s="1"/>
  <c r="BC26" i="3"/>
  <c r="AX27" i="3"/>
  <c r="AW28" i="3"/>
  <c r="H29" i="3"/>
  <c r="AS29" i="3"/>
  <c r="BC31" i="3"/>
  <c r="AS32" i="3"/>
  <c r="AX35" i="3"/>
  <c r="AW41" i="3"/>
  <c r="AV41" i="3" s="1"/>
  <c r="AT39" i="3"/>
  <c r="AU44" i="3"/>
  <c r="AS50" i="3"/>
  <c r="BC52" i="3"/>
  <c r="AX53" i="3"/>
  <c r="AW54" i="3"/>
  <c r="AW63" i="3"/>
  <c r="AX65" i="3"/>
  <c r="BI67" i="3"/>
  <c r="AC67" i="3" s="1"/>
  <c r="AT64" i="3"/>
  <c r="AX69" i="3"/>
  <c r="AS71" i="3"/>
  <c r="AV72" i="3"/>
  <c r="H80" i="3"/>
  <c r="AX81" i="3"/>
  <c r="AS82" i="3"/>
  <c r="BH83" i="3"/>
  <c r="AD83" i="3" s="1"/>
  <c r="BC84" i="3"/>
  <c r="AW85" i="3"/>
  <c r="BC85" i="3" s="1"/>
  <c r="AW86" i="3"/>
  <c r="BC86" i="3" s="1"/>
  <c r="AX88" i="3"/>
  <c r="AV88" i="3" s="1"/>
  <c r="AX90" i="3"/>
  <c r="AW93" i="3"/>
  <c r="AV93" i="3" s="1"/>
  <c r="BC99" i="3"/>
  <c r="AX100" i="3"/>
  <c r="BC100" i="3" s="1"/>
  <c r="AW101" i="3"/>
  <c r="AV101" i="3" s="1"/>
  <c r="AX104" i="3"/>
  <c r="AV104" i="3" s="1"/>
  <c r="BI105" i="3"/>
  <c r="AE105" i="3" s="1"/>
  <c r="BC107" i="3"/>
  <c r="AX108" i="3"/>
  <c r="BC108" i="3" s="1"/>
  <c r="AW109" i="3"/>
  <c r="AV109" i="3" s="1"/>
  <c r="AW111" i="3"/>
  <c r="BH125" i="3"/>
  <c r="AD125" i="3" s="1"/>
  <c r="BH129" i="3"/>
  <c r="AD129" i="3" s="1"/>
  <c r="BH133" i="3"/>
  <c r="AD133" i="3" s="1"/>
  <c r="BH137" i="3"/>
  <c r="AD137" i="3" s="1"/>
  <c r="BH141" i="3"/>
  <c r="AD141" i="3" s="1"/>
  <c r="AW144" i="3"/>
  <c r="BI144" i="3"/>
  <c r="AE144" i="3" s="1"/>
  <c r="BI147" i="3"/>
  <c r="AE147" i="3" s="1"/>
  <c r="AX149" i="3"/>
  <c r="BC149" i="3" s="1"/>
  <c r="AW150" i="3"/>
  <c r="AV150" i="3" s="1"/>
  <c r="BH151" i="3"/>
  <c r="AD151" i="3" s="1"/>
  <c r="AV155" i="3"/>
  <c r="AW157" i="3"/>
  <c r="AT158" i="3"/>
  <c r="AX159" i="3"/>
  <c r="AW162" i="3"/>
  <c r="AW169" i="3"/>
  <c r="AW170" i="3"/>
  <c r="AV170" i="3" s="1"/>
  <c r="AX174" i="3"/>
  <c r="AW178" i="3"/>
  <c r="AX187" i="3"/>
  <c r="AV187" i="3" s="1"/>
  <c r="AW189" i="3"/>
  <c r="AX190" i="3"/>
  <c r="AX194" i="3"/>
  <c r="AX195" i="3"/>
  <c r="BC195" i="3" s="1"/>
  <c r="AW197" i="3"/>
  <c r="AW206" i="3"/>
  <c r="AX211" i="3"/>
  <c r="AS212" i="3"/>
  <c r="AW219" i="3"/>
  <c r="AW225" i="3"/>
  <c r="AX233" i="3"/>
  <c r="AX238" i="3"/>
  <c r="BH239" i="3"/>
  <c r="AD239" i="3" s="1"/>
  <c r="AX243" i="3"/>
  <c r="AX246" i="3"/>
  <c r="BH251" i="3"/>
  <c r="AD251" i="3" s="1"/>
  <c r="AW251" i="3"/>
  <c r="BC251" i="3" s="1"/>
  <c r="BI255" i="3"/>
  <c r="AE255" i="3" s="1"/>
  <c r="AX255" i="3"/>
  <c r="BI260" i="3"/>
  <c r="AE260" i="3" s="1"/>
  <c r="AX260" i="3"/>
  <c r="BC260" i="3" s="1"/>
  <c r="BH263" i="3"/>
  <c r="AD263" i="3" s="1"/>
  <c r="AW263" i="3"/>
  <c r="BI273" i="3"/>
  <c r="AE273" i="3" s="1"/>
  <c r="AX273" i="3"/>
  <c r="AT296" i="3"/>
  <c r="BC307" i="3"/>
  <c r="AV307" i="3"/>
  <c r="BI339" i="3"/>
  <c r="AG339" i="3" s="1"/>
  <c r="AX339" i="3"/>
  <c r="BI369" i="3"/>
  <c r="AG369" i="3" s="1"/>
  <c r="AX369" i="3"/>
  <c r="BC22" i="3"/>
  <c r="BH175" i="3"/>
  <c r="AD175" i="3" s="1"/>
  <c r="AW248" i="3"/>
  <c r="AV248" i="3" s="1"/>
  <c r="BH248" i="3"/>
  <c r="AD248" i="3" s="1"/>
  <c r="BI301" i="3"/>
  <c r="AC301" i="3" s="1"/>
  <c r="AX301" i="3"/>
  <c r="BC311" i="3"/>
  <c r="AV311" i="3"/>
  <c r="BH329" i="3"/>
  <c r="AB329" i="3" s="1"/>
  <c r="AW329" i="3"/>
  <c r="BC329" i="3" s="1"/>
  <c r="BC36" i="3"/>
  <c r="AT50" i="3"/>
  <c r="BC61" i="3"/>
  <c r="AU64" i="3"/>
  <c r="BI66" i="3"/>
  <c r="AC66" i="3" s="1"/>
  <c r="AW68" i="3"/>
  <c r="AU71" i="3"/>
  <c r="AT71" i="3"/>
  <c r="BC74" i="3"/>
  <c r="BC94" i="3"/>
  <c r="AW97" i="3"/>
  <c r="AS117" i="3"/>
  <c r="BI148" i="3"/>
  <c r="AE148" i="3" s="1"/>
  <c r="AU158" i="3"/>
  <c r="BI176" i="3"/>
  <c r="AE176" i="3" s="1"/>
  <c r="BH191" i="3"/>
  <c r="AD191" i="3" s="1"/>
  <c r="BI192" i="3"/>
  <c r="AE192" i="3" s="1"/>
  <c r="AT212" i="3"/>
  <c r="AS234" i="3"/>
  <c r="BI251" i="3"/>
  <c r="AE251" i="3" s="1"/>
  <c r="AX251" i="3"/>
  <c r="BH254" i="3"/>
  <c r="AD254" i="3" s="1"/>
  <c r="AW254" i="3"/>
  <c r="H272" i="3"/>
  <c r="BI278" i="3"/>
  <c r="AE278" i="3" s="1"/>
  <c r="AX278" i="3"/>
  <c r="BH287" i="3"/>
  <c r="AD287" i="3" s="1"/>
  <c r="AW287" i="3"/>
  <c r="BH306" i="3"/>
  <c r="AB306" i="3" s="1"/>
  <c r="AW306" i="3"/>
  <c r="BI309" i="3"/>
  <c r="AC309" i="3" s="1"/>
  <c r="AX309" i="3"/>
  <c r="BC309" i="3" s="1"/>
  <c r="BI313" i="3"/>
  <c r="AC313" i="3" s="1"/>
  <c r="AX313" i="3"/>
  <c r="BH320" i="3"/>
  <c r="AB320" i="3" s="1"/>
  <c r="AW320" i="3"/>
  <c r="AV320" i="3" s="1"/>
  <c r="BI321" i="3"/>
  <c r="AC321" i="3" s="1"/>
  <c r="AX321" i="3"/>
  <c r="AV332" i="3"/>
  <c r="BC332" i="3"/>
  <c r="BH334" i="3"/>
  <c r="AW334" i="3"/>
  <c r="BH389" i="3"/>
  <c r="AF389" i="3" s="1"/>
  <c r="AW389" i="3"/>
  <c r="BH414" i="3"/>
  <c r="AF414" i="3" s="1"/>
  <c r="AW414" i="3"/>
  <c r="BC414" i="3" s="1"/>
  <c r="BI415" i="3"/>
  <c r="AC415" i="3" s="1"/>
  <c r="AX415" i="3"/>
  <c r="BH426" i="3"/>
  <c r="AF426" i="3" s="1"/>
  <c r="AW426" i="3"/>
  <c r="BH436" i="3"/>
  <c r="AF436" i="3" s="1"/>
  <c r="AW436" i="3"/>
  <c r="AT281" i="3"/>
  <c r="BH288" i="3"/>
  <c r="AD288" i="3" s="1"/>
  <c r="AU296" i="3"/>
  <c r="BC300" i="3"/>
  <c r="AS304" i="3"/>
  <c r="BI315" i="3"/>
  <c r="AC315" i="3" s="1"/>
  <c r="BC325" i="3"/>
  <c r="BC339" i="3"/>
  <c r="BI354" i="3"/>
  <c r="AG354" i="3" s="1"/>
  <c r="BI355" i="3"/>
  <c r="AG355" i="3" s="1"/>
  <c r="AX355" i="3"/>
  <c r="AV355" i="3" s="1"/>
  <c r="AX363" i="3"/>
  <c r="BI363" i="3"/>
  <c r="AG363" i="3" s="1"/>
  <c r="BI365" i="3"/>
  <c r="AG365" i="3" s="1"/>
  <c r="AX365" i="3"/>
  <c r="BC365" i="3" s="1"/>
  <c r="AW371" i="3"/>
  <c r="BC371" i="3" s="1"/>
  <c r="BH371" i="3"/>
  <c r="AF371" i="3" s="1"/>
  <c r="BH383" i="3"/>
  <c r="AF383" i="3" s="1"/>
  <c r="BH394" i="3"/>
  <c r="AF394" i="3" s="1"/>
  <c r="AW394" i="3"/>
  <c r="BI400" i="3"/>
  <c r="AG400" i="3" s="1"/>
  <c r="AX400" i="3"/>
  <c r="AV400" i="3" s="1"/>
  <c r="BH404" i="3"/>
  <c r="AF404" i="3" s="1"/>
  <c r="AW404" i="3"/>
  <c r="BI405" i="3"/>
  <c r="AG405" i="3" s="1"/>
  <c r="AX405" i="3"/>
  <c r="BH416" i="3"/>
  <c r="AB416" i="3" s="1"/>
  <c r="BI431" i="3"/>
  <c r="AG431" i="3" s="1"/>
  <c r="AX431" i="3"/>
  <c r="BI441" i="3"/>
  <c r="AG441" i="3" s="1"/>
  <c r="AX441" i="3"/>
  <c r="AW451" i="3"/>
  <c r="BH451" i="3"/>
  <c r="BH452" i="3"/>
  <c r="AW452" i="3"/>
  <c r="BC265" i="3"/>
  <c r="AT262" i="3"/>
  <c r="BH283" i="3"/>
  <c r="AD283" i="3" s="1"/>
  <c r="AW297" i="3"/>
  <c r="BH299" i="3"/>
  <c r="AB299" i="3" s="1"/>
  <c r="BI300" i="3"/>
  <c r="AC300" i="3" s="1"/>
  <c r="AW301" i="3"/>
  <c r="AX308" i="3"/>
  <c r="AW317" i="3"/>
  <c r="BH319" i="3"/>
  <c r="AB319" i="3" s="1"/>
  <c r="BI320" i="3"/>
  <c r="AC320" i="3" s="1"/>
  <c r="AW321" i="3"/>
  <c r="AX330" i="3"/>
  <c r="H333" i="3"/>
  <c r="AX344" i="3"/>
  <c r="BI346" i="3"/>
  <c r="AG346" i="3" s="1"/>
  <c r="BI348" i="3"/>
  <c r="AG348" i="3" s="1"/>
  <c r="AX348" i="3"/>
  <c r="AX350" i="3"/>
  <c r="BC350" i="3" s="1"/>
  <c r="BI350" i="3"/>
  <c r="AG350" i="3" s="1"/>
  <c r="BH364" i="3"/>
  <c r="AF364" i="3" s="1"/>
  <c r="AW364" i="3"/>
  <c r="AV365" i="3"/>
  <c r="BH381" i="3"/>
  <c r="AF381" i="3" s="1"/>
  <c r="AW381" i="3"/>
  <c r="BH385" i="3"/>
  <c r="AF385" i="3" s="1"/>
  <c r="BI387" i="3"/>
  <c r="AG387" i="3" s="1"/>
  <c r="AX387" i="3"/>
  <c r="AW407" i="3"/>
  <c r="BH407" i="3"/>
  <c r="AF407" i="3" s="1"/>
  <c r="AS409" i="3"/>
  <c r="BI425" i="3"/>
  <c r="AG425" i="3" s="1"/>
  <c r="AX425" i="3"/>
  <c r="AV425" i="3" s="1"/>
  <c r="BH430" i="3"/>
  <c r="AF430" i="3" s="1"/>
  <c r="AW430" i="3"/>
  <c r="BH438" i="3"/>
  <c r="AF438" i="3" s="1"/>
  <c r="BH440" i="3"/>
  <c r="AF440" i="3" s="1"/>
  <c r="AW440" i="3"/>
  <c r="BI444" i="3"/>
  <c r="AG444" i="3" s="1"/>
  <c r="AX444" i="3"/>
  <c r="AX450" i="3"/>
  <c r="BI450" i="3"/>
  <c r="BH456" i="3"/>
  <c r="AW456" i="3"/>
  <c r="BH265" i="3"/>
  <c r="AD265" i="3" s="1"/>
  <c r="AX269" i="3"/>
  <c r="AW276" i="3"/>
  <c r="AW277" i="3"/>
  <c r="AS281" i="3"/>
  <c r="AX283" i="3"/>
  <c r="AV283" i="3" s="1"/>
  <c r="AW285" i="3"/>
  <c r="AX287" i="3"/>
  <c r="AS296" i="3"/>
  <c r="AX299" i="3"/>
  <c r="BC299" i="3" s="1"/>
  <c r="AW303" i="3"/>
  <c r="BI306" i="3"/>
  <c r="AC306" i="3" s="1"/>
  <c r="BC310" i="3"/>
  <c r="AS314" i="3"/>
  <c r="BC319" i="3"/>
  <c r="BH323" i="3"/>
  <c r="AB323" i="3" s="1"/>
  <c r="AX329" i="3"/>
  <c r="AX334" i="3"/>
  <c r="BC334" i="3" s="1"/>
  <c r="BH337" i="3"/>
  <c r="AF337" i="3" s="1"/>
  <c r="AX343" i="3"/>
  <c r="AW346" i="3"/>
  <c r="BH347" i="3"/>
  <c r="AF347" i="3" s="1"/>
  <c r="AW347" i="3"/>
  <c r="AW349" i="3"/>
  <c r="BC349" i="3" s="1"/>
  <c r="BH349" i="3"/>
  <c r="AF349" i="3" s="1"/>
  <c r="AV350" i="3"/>
  <c r="BH353" i="3"/>
  <c r="AF353" i="3" s="1"/>
  <c r="AW368" i="3"/>
  <c r="AW372" i="3"/>
  <c r="BI373" i="3"/>
  <c r="AG373" i="3" s="1"/>
  <c r="AX373" i="3"/>
  <c r="AW375" i="3"/>
  <c r="BC375" i="3" s="1"/>
  <c r="BH375" i="3"/>
  <c r="AF375" i="3" s="1"/>
  <c r="AX384" i="3"/>
  <c r="BI384" i="3"/>
  <c r="AG384" i="3" s="1"/>
  <c r="BI390" i="3"/>
  <c r="AG390" i="3" s="1"/>
  <c r="AX390" i="3"/>
  <c r="BI410" i="3"/>
  <c r="AG410" i="3" s="1"/>
  <c r="AX410" i="3"/>
  <c r="BH418" i="3"/>
  <c r="AB418" i="3" s="1"/>
  <c r="AW418" i="3"/>
  <c r="BC418" i="3" s="1"/>
  <c r="AX419" i="3"/>
  <c r="BC419" i="3" s="1"/>
  <c r="BI419" i="3"/>
  <c r="AC419" i="3" s="1"/>
  <c r="BI429" i="3"/>
  <c r="AG429" i="3" s="1"/>
  <c r="BI437" i="3"/>
  <c r="AG437" i="3" s="1"/>
  <c r="AX437" i="3"/>
  <c r="AW445" i="3"/>
  <c r="BH445" i="3"/>
  <c r="AF445" i="3" s="1"/>
  <c r="BI447" i="3"/>
  <c r="BH396" i="3"/>
  <c r="AF396" i="3" s="1"/>
  <c r="AT433" i="3"/>
  <c r="AS433" i="3"/>
  <c r="BH442" i="3"/>
  <c r="AF442" i="3" s="1"/>
  <c r="AX445" i="3"/>
  <c r="BC445" i="3" s="1"/>
  <c r="AX451" i="3"/>
  <c r="BC451" i="3" s="1"/>
  <c r="AW354" i="3"/>
  <c r="BC354" i="3" s="1"/>
  <c r="AW356" i="3"/>
  <c r="AW369" i="3"/>
  <c r="AW376" i="3"/>
  <c r="BI380" i="3"/>
  <c r="AG380" i="3" s="1"/>
  <c r="BC387" i="3"/>
  <c r="BI393" i="3"/>
  <c r="AG393" i="3" s="1"/>
  <c r="BI397" i="3"/>
  <c r="AG397" i="3" s="1"/>
  <c r="AW399" i="3"/>
  <c r="BC399" i="3" s="1"/>
  <c r="AW401" i="3"/>
  <c r="BH403" i="3"/>
  <c r="AF403" i="3" s="1"/>
  <c r="AW413" i="3"/>
  <c r="BI413" i="3"/>
  <c r="AG413" i="3" s="1"/>
  <c r="AV417" i="3"/>
  <c r="BI417" i="3"/>
  <c r="AC417" i="3" s="1"/>
  <c r="BC425" i="3"/>
  <c r="AW427" i="3"/>
  <c r="AW435" i="3"/>
  <c r="BI435" i="3"/>
  <c r="AG435" i="3" s="1"/>
  <c r="AX436" i="3"/>
  <c r="AW439" i="3"/>
  <c r="BI439" i="3"/>
  <c r="AG439" i="3" s="1"/>
  <c r="AX440" i="3"/>
  <c r="AX442" i="3"/>
  <c r="AV442" i="3" s="1"/>
  <c r="BH459" i="3"/>
  <c r="AX357" i="3"/>
  <c r="AW360" i="3"/>
  <c r="BH367" i="3"/>
  <c r="AF367" i="3" s="1"/>
  <c r="AW384" i="3"/>
  <c r="AX385" i="3"/>
  <c r="AV387" i="3"/>
  <c r="BH387" i="3"/>
  <c r="AF387" i="3" s="1"/>
  <c r="AX398" i="3"/>
  <c r="BC398" i="3" s="1"/>
  <c r="AX402" i="3"/>
  <c r="AS388" i="3"/>
  <c r="AW405" i="3"/>
  <c r="AV405" i="3" s="1"/>
  <c r="AX406" i="3"/>
  <c r="AW415" i="3"/>
  <c r="BH419" i="3"/>
  <c r="AB419" i="3" s="1"/>
  <c r="AW422" i="3"/>
  <c r="BI422" i="3"/>
  <c r="AG422" i="3" s="1"/>
  <c r="AX423" i="3"/>
  <c r="AS421" i="3"/>
  <c r="AS446" i="3"/>
  <c r="BI458" i="3"/>
  <c r="AX288" i="3"/>
  <c r="BC288" i="3" s="1"/>
  <c r="AX14" i="3"/>
  <c r="AS289" i="3"/>
  <c r="C29" i="1"/>
  <c r="F29" i="1" s="1"/>
  <c r="BJ290" i="3"/>
  <c r="C20" i="1"/>
  <c r="C28" i="1"/>
  <c r="C21" i="1"/>
  <c r="AT289" i="3"/>
  <c r="AU13" i="3"/>
  <c r="AV16" i="3"/>
  <c r="AU32" i="3"/>
  <c r="AV35" i="3"/>
  <c r="BC35" i="3"/>
  <c r="AV36" i="3"/>
  <c r="AV40" i="3"/>
  <c r="BC40" i="3"/>
  <c r="AU50" i="3"/>
  <c r="AV61" i="3"/>
  <c r="AV45" i="3"/>
  <c r="AV25" i="3"/>
  <c r="BC25" i="3"/>
  <c r="AV30" i="3"/>
  <c r="BC30" i="3"/>
  <c r="AV46" i="3"/>
  <c r="AV51" i="3"/>
  <c r="BC51" i="3"/>
  <c r="AV56" i="3"/>
  <c r="BC77" i="3"/>
  <c r="AV83" i="3"/>
  <c r="BC83" i="3"/>
  <c r="AV55" i="3"/>
  <c r="BC55" i="3"/>
  <c r="AV20" i="3"/>
  <c r="BC20" i="3"/>
  <c r="AU57" i="3"/>
  <c r="AV60" i="3"/>
  <c r="BC60" i="3"/>
  <c r="AV67" i="3"/>
  <c r="AU82" i="3"/>
  <c r="BH45" i="3"/>
  <c r="AB45" i="3" s="1"/>
  <c r="BI52" i="3"/>
  <c r="AC52" i="3" s="1"/>
  <c r="BC67" i="3"/>
  <c r="BC163" i="3"/>
  <c r="AV163" i="3"/>
  <c r="BI167" i="3"/>
  <c r="AE167" i="3" s="1"/>
  <c r="AX167" i="3"/>
  <c r="BC167" i="3" s="1"/>
  <c r="BH174" i="3"/>
  <c r="AD174" i="3" s="1"/>
  <c r="AW174" i="3"/>
  <c r="AW14" i="3"/>
  <c r="AX15" i="3"/>
  <c r="AV15" i="3" s="1"/>
  <c r="AW18" i="3"/>
  <c r="AX19" i="3"/>
  <c r="AL23" i="3"/>
  <c r="AU21" i="3" s="1"/>
  <c r="AW23" i="3"/>
  <c r="AX24" i="3"/>
  <c r="AV24" i="3" s="1"/>
  <c r="AW27" i="3"/>
  <c r="AX28" i="3"/>
  <c r="AV28" i="3" s="1"/>
  <c r="AW33" i="3"/>
  <c r="AX34" i="3"/>
  <c r="BC34" i="3" s="1"/>
  <c r="AW37" i="3"/>
  <c r="AX38" i="3"/>
  <c r="AV38" i="3" s="1"/>
  <c r="AW42" i="3"/>
  <c r="AX43" i="3"/>
  <c r="AV43" i="3" s="1"/>
  <c r="AW47" i="3"/>
  <c r="AX49" i="3"/>
  <c r="AV49" i="3" s="1"/>
  <c r="AW53" i="3"/>
  <c r="AX54" i="3"/>
  <c r="AW58" i="3"/>
  <c r="AX59" i="3"/>
  <c r="BC59" i="3" s="1"/>
  <c r="BH62" i="3"/>
  <c r="AB62" i="3" s="1"/>
  <c r="H64" i="3"/>
  <c r="AS64" i="3"/>
  <c r="AV69" i="3"/>
  <c r="H71" i="3"/>
  <c r="BH72" i="3"/>
  <c r="AB72" i="3" s="1"/>
  <c r="AT82" i="3"/>
  <c r="BH84" i="3"/>
  <c r="AD84" i="3" s="1"/>
  <c r="AV85" i="3"/>
  <c r="AV86" i="3"/>
  <c r="BC88" i="3"/>
  <c r="AW90" i="3"/>
  <c r="BC93" i="3"/>
  <c r="AV99" i="3"/>
  <c r="BI99" i="3"/>
  <c r="AE99" i="3" s="1"/>
  <c r="BC105" i="3"/>
  <c r="AV107" i="3"/>
  <c r="BI107" i="3"/>
  <c r="AE107" i="3" s="1"/>
  <c r="AW147" i="3"/>
  <c r="BH147" i="3"/>
  <c r="AD147" i="3" s="1"/>
  <c r="BI160" i="3"/>
  <c r="AE160" i="3" s="1"/>
  <c r="AX160" i="3"/>
  <c r="BC160" i="3" s="1"/>
  <c r="AV164" i="3"/>
  <c r="BC164" i="3"/>
  <c r="BI191" i="3"/>
  <c r="AE191" i="3" s="1"/>
  <c r="AX191" i="3"/>
  <c r="AV191" i="3" s="1"/>
  <c r="AX244" i="3"/>
  <c r="BI244" i="3"/>
  <c r="AE244" i="3" s="1"/>
  <c r="BH16" i="3"/>
  <c r="AB16" i="3" s="1"/>
  <c r="BI17" i="3"/>
  <c r="AC17" i="3" s="1"/>
  <c r="BH20" i="3"/>
  <c r="AB20" i="3" s="1"/>
  <c r="BH25" i="3"/>
  <c r="AB25" i="3" s="1"/>
  <c r="BI31" i="3"/>
  <c r="AC31" i="3" s="1"/>
  <c r="BH35" i="3"/>
  <c r="AB35" i="3" s="1"/>
  <c r="BI46" i="3"/>
  <c r="AC46" i="3" s="1"/>
  <c r="BH51" i="3"/>
  <c r="AB51" i="3" s="1"/>
  <c r="BH55" i="3"/>
  <c r="AB55" i="3" s="1"/>
  <c r="BI56" i="3"/>
  <c r="AC56" i="3" s="1"/>
  <c r="BI61" i="3"/>
  <c r="AC61" i="3" s="1"/>
  <c r="BC92" i="3"/>
  <c r="AV148" i="3"/>
  <c r="BC148" i="3"/>
  <c r="BC170" i="3"/>
  <c r="AW171" i="3"/>
  <c r="BH171" i="3"/>
  <c r="AD171" i="3" s="1"/>
  <c r="AW200" i="3"/>
  <c r="BH200" i="3"/>
  <c r="AD200" i="3" s="1"/>
  <c r="I18" i="2"/>
  <c r="H13" i="3"/>
  <c r="BC24" i="3"/>
  <c r="H32" i="3"/>
  <c r="BC49" i="3"/>
  <c r="H57" i="3"/>
  <c r="AW66" i="3"/>
  <c r="AX70" i="3"/>
  <c r="AV70" i="3" s="1"/>
  <c r="AV77" i="3"/>
  <c r="H82" i="3"/>
  <c r="BI85" i="3"/>
  <c r="AE85" i="3" s="1"/>
  <c r="AW87" i="3"/>
  <c r="AX91" i="3"/>
  <c r="AV91" i="3" s="1"/>
  <c r="BC95" i="3"/>
  <c r="AX96" i="3"/>
  <c r="AV96" i="3" s="1"/>
  <c r="AV98" i="3"/>
  <c r="BH98" i="3"/>
  <c r="AD98" i="3" s="1"/>
  <c r="AV106" i="3"/>
  <c r="BH106" i="3"/>
  <c r="AD106" i="3" s="1"/>
  <c r="AV112" i="3"/>
  <c r="BC112" i="3"/>
  <c r="AV116" i="3"/>
  <c r="BC116" i="3"/>
  <c r="BH140" i="3"/>
  <c r="AD140" i="3" s="1"/>
  <c r="AW140" i="3"/>
  <c r="AV141" i="3"/>
  <c r="BC141" i="3"/>
  <c r="BI146" i="3"/>
  <c r="AE146" i="3" s="1"/>
  <c r="AX146" i="3"/>
  <c r="BC150" i="3"/>
  <c r="AX157" i="3"/>
  <c r="BI157" i="3"/>
  <c r="AE157" i="3" s="1"/>
  <c r="BI165" i="3"/>
  <c r="AE165" i="3" s="1"/>
  <c r="AX165" i="3"/>
  <c r="AX214" i="3"/>
  <c r="BI214" i="3"/>
  <c r="AE214" i="3" s="1"/>
  <c r="AX249" i="3"/>
  <c r="BI249" i="3"/>
  <c r="AE249" i="3" s="1"/>
  <c r="AW269" i="3"/>
  <c r="BH269" i="3"/>
  <c r="AD269" i="3" s="1"/>
  <c r="AX270" i="3"/>
  <c r="BI270" i="3"/>
  <c r="AE270" i="3" s="1"/>
  <c r="BI22" i="3"/>
  <c r="AC22" i="3" s="1"/>
  <c r="BI26" i="3"/>
  <c r="AC26" i="3" s="1"/>
  <c r="BH30" i="3"/>
  <c r="AB30" i="3" s="1"/>
  <c r="BI36" i="3"/>
  <c r="H39" i="3"/>
  <c r="BH40" i="3"/>
  <c r="AB40" i="3" s="1"/>
  <c r="BI41" i="3"/>
  <c r="AC41" i="3" s="1"/>
  <c r="H50" i="3"/>
  <c r="BH60" i="3"/>
  <c r="AB60" i="3" s="1"/>
  <c r="AW161" i="3"/>
  <c r="BH161" i="3"/>
  <c r="AD161" i="3" s="1"/>
  <c r="AW183" i="3"/>
  <c r="BH183" i="3"/>
  <c r="AD183" i="3" s="1"/>
  <c r="AV199" i="3"/>
  <c r="BC199" i="3"/>
  <c r="BH203" i="3"/>
  <c r="AD203" i="3" s="1"/>
  <c r="AW203" i="3"/>
  <c r="AW256" i="3"/>
  <c r="BH256" i="3"/>
  <c r="AD256" i="3" s="1"/>
  <c r="BI63" i="3"/>
  <c r="AC63" i="3" s="1"/>
  <c r="AW65" i="3"/>
  <c r="BH67" i="3"/>
  <c r="AB67" i="3" s="1"/>
  <c r="BC70" i="3"/>
  <c r="BI73" i="3"/>
  <c r="AC73" i="3" s="1"/>
  <c r="AV74" i="3"/>
  <c r="H76" i="3"/>
  <c r="BH77" i="3"/>
  <c r="AB77" i="3" s="1"/>
  <c r="AV81" i="3"/>
  <c r="BH92" i="3"/>
  <c r="AD92" i="3" s="1"/>
  <c r="AV94" i="3"/>
  <c r="BI97" i="3"/>
  <c r="AE97" i="3" s="1"/>
  <c r="BH100" i="3"/>
  <c r="AD100" i="3" s="1"/>
  <c r="BC101" i="3"/>
  <c r="AV103" i="3"/>
  <c r="BI103" i="3"/>
  <c r="AE103" i="3" s="1"/>
  <c r="BC104" i="3"/>
  <c r="AV108" i="3"/>
  <c r="BH108" i="3"/>
  <c r="AD108" i="3" s="1"/>
  <c r="BH112" i="3"/>
  <c r="AD112" i="3" s="1"/>
  <c r="BH116" i="3"/>
  <c r="AD116" i="3" s="1"/>
  <c r="AV118" i="3"/>
  <c r="BI118" i="3"/>
  <c r="AE118" i="3" s="1"/>
  <c r="AV121" i="3"/>
  <c r="BC121" i="3"/>
  <c r="AV122" i="3"/>
  <c r="BI122" i="3"/>
  <c r="AE122" i="3" s="1"/>
  <c r="AV125" i="3"/>
  <c r="BC125" i="3"/>
  <c r="AV126" i="3"/>
  <c r="BI126" i="3"/>
  <c r="AE126" i="3" s="1"/>
  <c r="AV129" i="3"/>
  <c r="BC129" i="3"/>
  <c r="AV130" i="3"/>
  <c r="BI130" i="3"/>
  <c r="AE130" i="3" s="1"/>
  <c r="AV133" i="3"/>
  <c r="BC133" i="3"/>
  <c r="AV134" i="3"/>
  <c r="BI134" i="3"/>
  <c r="AE134" i="3" s="1"/>
  <c r="AV137" i="3"/>
  <c r="BC137" i="3"/>
  <c r="AV138" i="3"/>
  <c r="BI138" i="3"/>
  <c r="AE138" i="3" s="1"/>
  <c r="AV143" i="3"/>
  <c r="BI151" i="3"/>
  <c r="AE151" i="3" s="1"/>
  <c r="AX151" i="3"/>
  <c r="AV151" i="3" s="1"/>
  <c r="BH153" i="3"/>
  <c r="AD153" i="3" s="1"/>
  <c r="AW153" i="3"/>
  <c r="AV154" i="3"/>
  <c r="BC154" i="3"/>
  <c r="H158" i="3"/>
  <c r="AV162" i="3"/>
  <c r="BC162" i="3"/>
  <c r="BH166" i="3"/>
  <c r="AD166" i="3" s="1"/>
  <c r="AW166" i="3"/>
  <c r="AX196" i="3"/>
  <c r="BI196" i="3"/>
  <c r="AE196" i="3" s="1"/>
  <c r="AW217" i="3"/>
  <c r="BH217" i="3"/>
  <c r="AD217" i="3" s="1"/>
  <c r="AW226" i="3"/>
  <c r="BH226" i="3"/>
  <c r="AD226" i="3" s="1"/>
  <c r="AL233" i="3"/>
  <c r="AU224" i="3" s="1"/>
  <c r="H224" i="3"/>
  <c r="AX253" i="3"/>
  <c r="BI253" i="3"/>
  <c r="AE253" i="3" s="1"/>
  <c r="H262" i="3"/>
  <c r="AL264" i="3"/>
  <c r="AU262" i="3" s="1"/>
  <c r="AL344" i="3"/>
  <c r="AU335" i="3" s="1"/>
  <c r="H335" i="3"/>
  <c r="AW345" i="3"/>
  <c r="BH345" i="3"/>
  <c r="AF345" i="3" s="1"/>
  <c r="AW110" i="3"/>
  <c r="AX111" i="3"/>
  <c r="BC111" i="3" s="1"/>
  <c r="AW114" i="3"/>
  <c r="AX115" i="3"/>
  <c r="AV115" i="3" s="1"/>
  <c r="AL119" i="3"/>
  <c r="AU117" i="3" s="1"/>
  <c r="AW119" i="3"/>
  <c r="AX120" i="3"/>
  <c r="BC120" i="3" s="1"/>
  <c r="AW123" i="3"/>
  <c r="AX124" i="3"/>
  <c r="AV124" i="3" s="1"/>
  <c r="AW127" i="3"/>
  <c r="AX128" i="3"/>
  <c r="BC128" i="3" s="1"/>
  <c r="AW131" i="3"/>
  <c r="AX132" i="3"/>
  <c r="AV132" i="3" s="1"/>
  <c r="AW135" i="3"/>
  <c r="AX136" i="3"/>
  <c r="BC136" i="3" s="1"/>
  <c r="AW139" i="3"/>
  <c r="BC143" i="3"/>
  <c r="AW145" i="3"/>
  <c r="AV146" i="3"/>
  <c r="BH155" i="3"/>
  <c r="AD155" i="3" s="1"/>
  <c r="AW159" i="3"/>
  <c r="AX188" i="3"/>
  <c r="BI188" i="3"/>
  <c r="AE188" i="3" s="1"/>
  <c r="AV194" i="3"/>
  <c r="BC194" i="3"/>
  <c r="AU198" i="3"/>
  <c r="AT198" i="3"/>
  <c r="AX209" i="3"/>
  <c r="BI209" i="3"/>
  <c r="AE209" i="3" s="1"/>
  <c r="H212" i="3"/>
  <c r="AX218" i="3"/>
  <c r="BI218" i="3"/>
  <c r="AE218" i="3" s="1"/>
  <c r="AX222" i="3"/>
  <c r="BI222" i="3"/>
  <c r="AE222" i="3" s="1"/>
  <c r="AT234" i="3"/>
  <c r="AV239" i="3"/>
  <c r="BC239" i="3"/>
  <c r="AX257" i="3"/>
  <c r="BI257" i="3"/>
  <c r="AE257" i="3" s="1"/>
  <c r="AL282" i="3"/>
  <c r="AU281" i="3" s="1"/>
  <c r="H281" i="3"/>
  <c r="AW341" i="3"/>
  <c r="BH341" i="3"/>
  <c r="AF341" i="3" s="1"/>
  <c r="AX342" i="3"/>
  <c r="BI342" i="3"/>
  <c r="AG342" i="3" s="1"/>
  <c r="AX356" i="3"/>
  <c r="BI356" i="3"/>
  <c r="AG356" i="3" s="1"/>
  <c r="AV411" i="3"/>
  <c r="BC411" i="3"/>
  <c r="AU142" i="3"/>
  <c r="AX180" i="3"/>
  <c r="BI180" i="3"/>
  <c r="AE180" i="3" s="1"/>
  <c r="AV186" i="3"/>
  <c r="BC186" i="3"/>
  <c r="BH190" i="3"/>
  <c r="AD190" i="3" s="1"/>
  <c r="AW190" i="3"/>
  <c r="AS198" i="3"/>
  <c r="AV213" i="3"/>
  <c r="BC213" i="3"/>
  <c r="AS224" i="3"/>
  <c r="AX227" i="3"/>
  <c r="BI227" i="3"/>
  <c r="AE227" i="3" s="1"/>
  <c r="AV230" i="3"/>
  <c r="BC230" i="3"/>
  <c r="AV235" i="3"/>
  <c r="BC235" i="3"/>
  <c r="AV252" i="3"/>
  <c r="BC252" i="3"/>
  <c r="AW274" i="3"/>
  <c r="BH274" i="3"/>
  <c r="AD274" i="3" s="1"/>
  <c r="AX275" i="3"/>
  <c r="BI275" i="3"/>
  <c r="AE275" i="3" s="1"/>
  <c r="BC278" i="3"/>
  <c r="AV322" i="3"/>
  <c r="BC322" i="3"/>
  <c r="BI323" i="3"/>
  <c r="AC323" i="3" s="1"/>
  <c r="AX323" i="3"/>
  <c r="BC323" i="3" s="1"/>
  <c r="AV369" i="3"/>
  <c r="H142" i="3"/>
  <c r="BC146" i="3"/>
  <c r="BI152" i="3"/>
  <c r="AE152" i="3" s="1"/>
  <c r="BH165" i="3"/>
  <c r="AD165" i="3" s="1"/>
  <c r="AW165" i="3"/>
  <c r="AX172" i="3"/>
  <c r="BI172" i="3"/>
  <c r="AE172" i="3" s="1"/>
  <c r="AX175" i="3"/>
  <c r="AV175" i="3" s="1"/>
  <c r="AV178" i="3"/>
  <c r="BC178" i="3"/>
  <c r="AV179" i="3"/>
  <c r="BH182" i="3"/>
  <c r="AD182" i="3" s="1"/>
  <c r="AW182" i="3"/>
  <c r="BI184" i="3"/>
  <c r="AE184" i="3" s="1"/>
  <c r="BH195" i="3"/>
  <c r="AD195" i="3" s="1"/>
  <c r="AX201" i="3"/>
  <c r="BI201" i="3"/>
  <c r="AE201" i="3" s="1"/>
  <c r="AX204" i="3"/>
  <c r="BC204" i="3" s="1"/>
  <c r="AV207" i="3"/>
  <c r="BC207" i="3"/>
  <c r="AV208" i="3"/>
  <c r="BH213" i="3"/>
  <c r="AD213" i="3" s="1"/>
  <c r="AL216" i="3"/>
  <c r="AU212" i="3" s="1"/>
  <c r="AV221" i="3"/>
  <c r="BH230" i="3"/>
  <c r="AD230" i="3" s="1"/>
  <c r="AX231" i="3"/>
  <c r="BI231" i="3"/>
  <c r="AE231" i="3" s="1"/>
  <c r="BH235" i="3"/>
  <c r="AD235" i="3" s="1"/>
  <c r="AX236" i="3"/>
  <c r="BI236" i="3"/>
  <c r="AE236" i="3" s="1"/>
  <c r="AX240" i="3"/>
  <c r="BI240" i="3"/>
  <c r="AE240" i="3" s="1"/>
  <c r="AV243" i="3"/>
  <c r="BC243" i="3"/>
  <c r="BH252" i="3"/>
  <c r="AD252" i="3" s="1"/>
  <c r="AV287" i="3"/>
  <c r="AX360" i="3"/>
  <c r="BI360" i="3"/>
  <c r="AG360" i="3" s="1"/>
  <c r="AV399" i="3"/>
  <c r="AV414" i="3"/>
  <c r="AV220" i="3"/>
  <c r="BC220" i="3"/>
  <c r="AV225" i="3"/>
  <c r="BC225" i="3"/>
  <c r="AV233" i="3"/>
  <c r="BC233" i="3"/>
  <c r="AU234" i="3"/>
  <c r="AV238" i="3"/>
  <c r="BC238" i="3"/>
  <c r="AV246" i="3"/>
  <c r="BC246" i="3"/>
  <c r="AU247" i="3"/>
  <c r="AV251" i="3"/>
  <c r="AV259" i="3"/>
  <c r="BC259" i="3"/>
  <c r="AV264" i="3"/>
  <c r="BC264" i="3"/>
  <c r="AV277" i="3"/>
  <c r="BC277" i="3"/>
  <c r="AV282" i="3"/>
  <c r="BH298" i="3"/>
  <c r="AB298" i="3" s="1"/>
  <c r="AW298" i="3"/>
  <c r="AL305" i="3"/>
  <c r="AU304" i="3" s="1"/>
  <c r="H304" i="3"/>
  <c r="BH308" i="3"/>
  <c r="AB308" i="3" s="1"/>
  <c r="AW308" i="3"/>
  <c r="AL315" i="3"/>
  <c r="AU314" i="3" s="1"/>
  <c r="H314" i="3"/>
  <c r="BH318" i="3"/>
  <c r="AB318" i="3" s="1"/>
  <c r="AW318" i="3"/>
  <c r="AX324" i="3"/>
  <c r="BI324" i="3"/>
  <c r="AC324" i="3" s="1"/>
  <c r="AV329" i="3"/>
  <c r="AV340" i="3"/>
  <c r="BI341" i="3"/>
  <c r="AG341" i="3" s="1"/>
  <c r="AX341" i="3"/>
  <c r="BH344" i="3"/>
  <c r="AF344" i="3" s="1"/>
  <c r="AW344" i="3"/>
  <c r="AV354" i="3"/>
  <c r="AW359" i="3"/>
  <c r="BH359" i="3"/>
  <c r="AF359" i="3" s="1"/>
  <c r="BI366" i="3"/>
  <c r="AG366" i="3" s="1"/>
  <c r="AX366" i="3"/>
  <c r="BI367" i="3"/>
  <c r="AG367" i="3" s="1"/>
  <c r="AX367" i="3"/>
  <c r="AV367" i="3" s="1"/>
  <c r="BI379" i="3"/>
  <c r="AG379" i="3" s="1"/>
  <c r="AV380" i="3"/>
  <c r="BI382" i="3"/>
  <c r="AG382" i="3" s="1"/>
  <c r="AX382" i="3"/>
  <c r="AV382" i="3" s="1"/>
  <c r="BI383" i="3"/>
  <c r="AG383" i="3" s="1"/>
  <c r="AX383" i="3"/>
  <c r="AV383" i="3" s="1"/>
  <c r="AV397" i="3"/>
  <c r="BC397" i="3"/>
  <c r="BC402" i="3"/>
  <c r="AV402" i="3"/>
  <c r="BI403" i="3"/>
  <c r="AG403" i="3" s="1"/>
  <c r="AX403" i="3"/>
  <c r="AV403" i="3" s="1"/>
  <c r="AW429" i="3"/>
  <c r="BH429" i="3"/>
  <c r="AF429" i="3" s="1"/>
  <c r="AW434" i="3"/>
  <c r="BH434" i="3"/>
  <c r="AF434" i="3" s="1"/>
  <c r="AV260" i="3"/>
  <c r="AV265" i="3"/>
  <c r="AS272" i="3"/>
  <c r="AT272" i="3"/>
  <c r="AV278" i="3"/>
  <c r="AW305" i="3"/>
  <c r="BH305" i="3"/>
  <c r="AB305" i="3" s="1"/>
  <c r="AW315" i="3"/>
  <c r="BH315" i="3"/>
  <c r="AB315" i="3" s="1"/>
  <c r="AW327" i="3"/>
  <c r="BH327" i="3"/>
  <c r="AB327" i="3" s="1"/>
  <c r="AX328" i="3"/>
  <c r="BI328" i="3"/>
  <c r="AC328" i="3" s="1"/>
  <c r="AW331" i="3"/>
  <c r="BH331" i="3"/>
  <c r="AB331" i="3" s="1"/>
  <c r="AV336" i="3"/>
  <c r="BC336" i="3"/>
  <c r="AV352" i="3"/>
  <c r="BC352" i="3"/>
  <c r="BC357" i="3"/>
  <c r="AV357" i="3"/>
  <c r="BH361" i="3"/>
  <c r="AF361" i="3" s="1"/>
  <c r="AW361" i="3"/>
  <c r="BI362" i="3"/>
  <c r="AG362" i="3" s="1"/>
  <c r="AW363" i="3"/>
  <c r="BH363" i="3"/>
  <c r="AF363" i="3" s="1"/>
  <c r="AX372" i="3"/>
  <c r="BI372" i="3"/>
  <c r="AG372" i="3" s="1"/>
  <c r="BH373" i="3"/>
  <c r="AF373" i="3" s="1"/>
  <c r="AW373" i="3"/>
  <c r="BC382" i="3"/>
  <c r="H388" i="3"/>
  <c r="AL390" i="3"/>
  <c r="AU388" i="3" s="1"/>
  <c r="BH391" i="3"/>
  <c r="AF391" i="3" s="1"/>
  <c r="AW391" i="3"/>
  <c r="AW392" i="3"/>
  <c r="BH392" i="3"/>
  <c r="AF392" i="3" s="1"/>
  <c r="BC427" i="3"/>
  <c r="AV427" i="3"/>
  <c r="AV167" i="3"/>
  <c r="AW211" i="3"/>
  <c r="AW216" i="3"/>
  <c r="AW229" i="3"/>
  <c r="H234" i="3"/>
  <c r="AW242" i="3"/>
  <c r="H247" i="3"/>
  <c r="AW255" i="3"/>
  <c r="BI261" i="3"/>
  <c r="AE261" i="3" s="1"/>
  <c r="BI266" i="3"/>
  <c r="AE266" i="3" s="1"/>
  <c r="AW268" i="3"/>
  <c r="AW273" i="3"/>
  <c r="BI279" i="3"/>
  <c r="AE279" i="3" s="1"/>
  <c r="BI284" i="3"/>
  <c r="AE284" i="3" s="1"/>
  <c r="AV303" i="3"/>
  <c r="BC303" i="3"/>
  <c r="AV313" i="3"/>
  <c r="BC313" i="3"/>
  <c r="AV326" i="3"/>
  <c r="BC326" i="3"/>
  <c r="BI327" i="3"/>
  <c r="AC327" i="3" s="1"/>
  <c r="AX327" i="3"/>
  <c r="BH330" i="3"/>
  <c r="AB330" i="3" s="1"/>
  <c r="AW330" i="3"/>
  <c r="AS335" i="3"/>
  <c r="AX337" i="3"/>
  <c r="AV337" i="3" s="1"/>
  <c r="AX338" i="3"/>
  <c r="BI338" i="3"/>
  <c r="AG338" i="3" s="1"/>
  <c r="BC343" i="3"/>
  <c r="AV343" i="3"/>
  <c r="BH348" i="3"/>
  <c r="AF348" i="3" s="1"/>
  <c r="AW348" i="3"/>
  <c r="AX353" i="3"/>
  <c r="BC353" i="3" s="1"/>
  <c r="AW358" i="3"/>
  <c r="BH358" i="3"/>
  <c r="AF358" i="3" s="1"/>
  <c r="AV370" i="3"/>
  <c r="BC370" i="3"/>
  <c r="AW374" i="3"/>
  <c r="BH374" i="3"/>
  <c r="AF374" i="3" s="1"/>
  <c r="AX376" i="3"/>
  <c r="AV376" i="3" s="1"/>
  <c r="BI376" i="3"/>
  <c r="AG376" i="3" s="1"/>
  <c r="BC385" i="3"/>
  <c r="AV385" i="3"/>
  <c r="BH390" i="3"/>
  <c r="AF390" i="3" s="1"/>
  <c r="AW390" i="3"/>
  <c r="AX401" i="3"/>
  <c r="BI401" i="3"/>
  <c r="AG401" i="3" s="1"/>
  <c r="BC405" i="3"/>
  <c r="BI411" i="3"/>
  <c r="AG411" i="3" s="1"/>
  <c r="AW412" i="3"/>
  <c r="BH412" i="3"/>
  <c r="AF412" i="3" s="1"/>
  <c r="AX452" i="3"/>
  <c r="BI452" i="3"/>
  <c r="AX169" i="3"/>
  <c r="AV169" i="3" s="1"/>
  <c r="AW172" i="3"/>
  <c r="AX173" i="3"/>
  <c r="AV173" i="3" s="1"/>
  <c r="AW176" i="3"/>
  <c r="AX177" i="3"/>
  <c r="BC177" i="3" s="1"/>
  <c r="AW180" i="3"/>
  <c r="AX181" i="3"/>
  <c r="BC181" i="3" s="1"/>
  <c r="AW184" i="3"/>
  <c r="AX185" i="3"/>
  <c r="AV185" i="3" s="1"/>
  <c r="AW188" i="3"/>
  <c r="AX189" i="3"/>
  <c r="AV189" i="3" s="1"/>
  <c r="AW192" i="3"/>
  <c r="AX193" i="3"/>
  <c r="AV193" i="3" s="1"/>
  <c r="AW196" i="3"/>
  <c r="AX197" i="3"/>
  <c r="AV197" i="3" s="1"/>
  <c r="AW201" i="3"/>
  <c r="AX202" i="3"/>
  <c r="AV202" i="3" s="1"/>
  <c r="AW205" i="3"/>
  <c r="AX206" i="3"/>
  <c r="BC206" i="3" s="1"/>
  <c r="AW209" i="3"/>
  <c r="AX210" i="3"/>
  <c r="BC210" i="3" s="1"/>
  <c r="AW214" i="3"/>
  <c r="AX215" i="3"/>
  <c r="AV215" i="3" s="1"/>
  <c r="AW218" i="3"/>
  <c r="AX219" i="3"/>
  <c r="AV219" i="3" s="1"/>
  <c r="AW222" i="3"/>
  <c r="AX223" i="3"/>
  <c r="BC223" i="3" s="1"/>
  <c r="AW227" i="3"/>
  <c r="AX228" i="3"/>
  <c r="BC228" i="3" s="1"/>
  <c r="AW231" i="3"/>
  <c r="AX232" i="3"/>
  <c r="AV232" i="3" s="1"/>
  <c r="AW236" i="3"/>
  <c r="AX237" i="3"/>
  <c r="AV237" i="3" s="1"/>
  <c r="AW240" i="3"/>
  <c r="AX241" i="3"/>
  <c r="AV241" i="3" s="1"/>
  <c r="AW244" i="3"/>
  <c r="AX245" i="3"/>
  <c r="BC245" i="3" s="1"/>
  <c r="AW249" i="3"/>
  <c r="AX250" i="3"/>
  <c r="BC250" i="3" s="1"/>
  <c r="AW253" i="3"/>
  <c r="AX254" i="3"/>
  <c r="AV254" i="3" s="1"/>
  <c r="AW257" i="3"/>
  <c r="AX258" i="3"/>
  <c r="BC258" i="3" s="1"/>
  <c r="AW261" i="3"/>
  <c r="AX263" i="3"/>
  <c r="AV263" i="3" s="1"/>
  <c r="AW266" i="3"/>
  <c r="AX267" i="3"/>
  <c r="AV267" i="3" s="1"/>
  <c r="AW270" i="3"/>
  <c r="AX271" i="3"/>
  <c r="BC271" i="3" s="1"/>
  <c r="AW275" i="3"/>
  <c r="AX276" i="3"/>
  <c r="AV276" i="3" s="1"/>
  <c r="AW279" i="3"/>
  <c r="AX280" i="3"/>
  <c r="AV280" i="3" s="1"/>
  <c r="AW284" i="3"/>
  <c r="AV286" i="3"/>
  <c r="AV288" i="3"/>
  <c r="H296" i="3"/>
  <c r="AV299" i="3"/>
  <c r="AV309" i="3"/>
  <c r="AV319" i="3"/>
  <c r="AV325" i="3"/>
  <c r="AT335" i="3"/>
  <c r="AV339" i="3"/>
  <c r="AV349" i="3"/>
  <c r="AV366" i="3"/>
  <c r="BC366" i="3"/>
  <c r="BH378" i="3"/>
  <c r="AF378" i="3" s="1"/>
  <c r="AW378" i="3"/>
  <c r="AX389" i="3"/>
  <c r="AV389" i="3" s="1"/>
  <c r="BI389" i="3"/>
  <c r="AG389" i="3" s="1"/>
  <c r="BI392" i="3"/>
  <c r="AG392" i="3" s="1"/>
  <c r="AV393" i="3"/>
  <c r="BI395" i="3"/>
  <c r="AG395" i="3" s="1"/>
  <c r="AX395" i="3"/>
  <c r="AV395" i="3" s="1"/>
  <c r="BI396" i="3"/>
  <c r="AG396" i="3" s="1"/>
  <c r="AX396" i="3"/>
  <c r="AV396" i="3" s="1"/>
  <c r="AL410" i="3"/>
  <c r="AU409" i="3" s="1"/>
  <c r="H409" i="3"/>
  <c r="BI424" i="3"/>
  <c r="AG424" i="3" s="1"/>
  <c r="AX424" i="3"/>
  <c r="AV424" i="3" s="1"/>
  <c r="AW428" i="3"/>
  <c r="BH428" i="3"/>
  <c r="AF428" i="3" s="1"/>
  <c r="BH444" i="3"/>
  <c r="AF444" i="3" s="1"/>
  <c r="AW444" i="3"/>
  <c r="AT446" i="3"/>
  <c r="BH450" i="3"/>
  <c r="AW450" i="3"/>
  <c r="AT304" i="3"/>
  <c r="AT314" i="3"/>
  <c r="BC360" i="3"/>
  <c r="BH362" i="3"/>
  <c r="AF362" i="3" s="1"/>
  <c r="AW362" i="3"/>
  <c r="AV375" i="3"/>
  <c r="BH377" i="3"/>
  <c r="AF377" i="3" s="1"/>
  <c r="AW377" i="3"/>
  <c r="BI378" i="3"/>
  <c r="AG378" i="3" s="1"/>
  <c r="AW379" i="3"/>
  <c r="BH379" i="3"/>
  <c r="AF379" i="3" s="1"/>
  <c r="AV386" i="3"/>
  <c r="BC386" i="3"/>
  <c r="BC395" i="3"/>
  <c r="AV406" i="3"/>
  <c r="BC406" i="3"/>
  <c r="AX408" i="3"/>
  <c r="BI408" i="3"/>
  <c r="AG408" i="3" s="1"/>
  <c r="AV415" i="3"/>
  <c r="BC415" i="3"/>
  <c r="BI416" i="3"/>
  <c r="AC416" i="3" s="1"/>
  <c r="AX416" i="3"/>
  <c r="AV416" i="3" s="1"/>
  <c r="AW420" i="3"/>
  <c r="BH420" i="3"/>
  <c r="AB420" i="3" s="1"/>
  <c r="AU421" i="3"/>
  <c r="AX426" i="3"/>
  <c r="BC426" i="3" s="1"/>
  <c r="BI426" i="3"/>
  <c r="AG426" i="3" s="1"/>
  <c r="AV437" i="3"/>
  <c r="BC437" i="3"/>
  <c r="BI438" i="3"/>
  <c r="AG438" i="3" s="1"/>
  <c r="AX438" i="3"/>
  <c r="AV438" i="3" s="1"/>
  <c r="AV419" i="3"/>
  <c r="BI420" i="3"/>
  <c r="AC420" i="3" s="1"/>
  <c r="AV432" i="3"/>
  <c r="BC432" i="3"/>
  <c r="AX434" i="3"/>
  <c r="BI434" i="3"/>
  <c r="AG434" i="3" s="1"/>
  <c r="BC440" i="3"/>
  <c r="AW447" i="3"/>
  <c r="BH447" i="3"/>
  <c r="BI454" i="3"/>
  <c r="BH458" i="3"/>
  <c r="AW458" i="3"/>
  <c r="BH410" i="3"/>
  <c r="AF410" i="3" s="1"/>
  <c r="AW410" i="3"/>
  <c r="BI412" i="3"/>
  <c r="AG412" i="3" s="1"/>
  <c r="BC423" i="3"/>
  <c r="AV423" i="3"/>
  <c r="BH431" i="3"/>
  <c r="AF431" i="3" s="1"/>
  <c r="AW431" i="3"/>
  <c r="BH432" i="3"/>
  <c r="AF432" i="3" s="1"/>
  <c r="AW455" i="3"/>
  <c r="BH455" i="3"/>
  <c r="AX430" i="3"/>
  <c r="BI430" i="3"/>
  <c r="AG430" i="3" s="1"/>
  <c r="AL434" i="3"/>
  <c r="AU433" i="3" s="1"/>
  <c r="H433" i="3"/>
  <c r="AV441" i="3"/>
  <c r="BC441" i="3"/>
  <c r="BC442" i="3"/>
  <c r="AX443" i="3"/>
  <c r="BI443" i="3"/>
  <c r="AG443" i="3" s="1"/>
  <c r="AV445" i="3"/>
  <c r="AX448" i="3"/>
  <c r="BI448" i="3"/>
  <c r="AV451" i="3"/>
  <c r="BH454" i="3"/>
  <c r="AW454" i="3"/>
  <c r="AX456" i="3"/>
  <c r="BI456" i="3"/>
  <c r="AV459" i="3"/>
  <c r="AU446" i="3"/>
  <c r="AW449" i="3"/>
  <c r="AW453" i="3"/>
  <c r="AW457" i="3"/>
  <c r="H421" i="3"/>
  <c r="H446" i="3"/>
  <c r="BC185" i="3" l="1"/>
  <c r="BC43" i="3"/>
  <c r="AV128" i="3"/>
  <c r="AV34" i="3"/>
  <c r="BC355" i="3"/>
  <c r="AV440" i="3"/>
  <c r="AV426" i="3"/>
  <c r="BC369" i="3"/>
  <c r="BC169" i="3"/>
  <c r="BC157" i="3"/>
  <c r="BC73" i="3"/>
  <c r="AV73" i="3"/>
  <c r="AV353" i="3"/>
  <c r="BC202" i="3"/>
  <c r="BC193" i="3"/>
  <c r="BC237" i="3"/>
  <c r="AV111" i="3"/>
  <c r="BC124" i="3"/>
  <c r="BC436" i="3"/>
  <c r="AV371" i="3"/>
  <c r="BC367" i="3"/>
  <c r="BC287" i="3"/>
  <c r="AV245" i="3"/>
  <c r="BC109" i="3"/>
  <c r="BC254" i="3"/>
  <c r="BC219" i="3"/>
  <c r="BC54" i="3"/>
  <c r="BC316" i="3"/>
  <c r="AV316" i="3"/>
  <c r="C15" i="1"/>
  <c r="BC422" i="3"/>
  <c r="AV422" i="3"/>
  <c r="AV413" i="3"/>
  <c r="BC413" i="3"/>
  <c r="BC301" i="3"/>
  <c r="AV301" i="3"/>
  <c r="BC144" i="3"/>
  <c r="AV144" i="3"/>
  <c r="BC407" i="3"/>
  <c r="AV407" i="3"/>
  <c r="BC364" i="3"/>
  <c r="AV364" i="3"/>
  <c r="AV195" i="3"/>
  <c r="BC351" i="3"/>
  <c r="AV351" i="3"/>
  <c r="BC187" i="3"/>
  <c r="BC337" i="3"/>
  <c r="AV210" i="3"/>
  <c r="AV160" i="3"/>
  <c r="BC15" i="3"/>
  <c r="C14" i="1"/>
  <c r="AV346" i="3"/>
  <c r="BC346" i="3"/>
  <c r="BC381" i="3"/>
  <c r="AV381" i="3"/>
  <c r="BC320" i="3"/>
  <c r="BC283" i="3"/>
  <c r="BC383" i="3"/>
  <c r="AV323" i="3"/>
  <c r="AV418" i="3"/>
  <c r="AV334" i="3"/>
  <c r="AV436" i="3"/>
  <c r="AV360" i="3"/>
  <c r="BC248" i="3"/>
  <c r="BC191" i="3"/>
  <c r="AV100" i="3"/>
  <c r="BC91" i="3"/>
  <c r="AV149" i="3"/>
  <c r="AV136" i="3"/>
  <c r="AV120" i="3"/>
  <c r="BC79" i="3"/>
  <c r="AV19" i="3"/>
  <c r="BC75" i="3"/>
  <c r="AV435" i="3"/>
  <c r="BC435" i="3"/>
  <c r="AV368" i="3"/>
  <c r="BC368" i="3"/>
  <c r="BC317" i="3"/>
  <c r="AV317" i="3"/>
  <c r="AV404" i="3"/>
  <c r="BC404" i="3"/>
  <c r="BC394" i="3"/>
  <c r="AV394" i="3"/>
  <c r="AV398" i="3"/>
  <c r="AV306" i="3"/>
  <c r="BC306" i="3"/>
  <c r="AV97" i="3"/>
  <c r="BC97" i="3"/>
  <c r="BC376" i="3"/>
  <c r="BC396" i="3"/>
  <c r="C18" i="1"/>
  <c r="AV177" i="3"/>
  <c r="AV157" i="3"/>
  <c r="BC263" i="3"/>
  <c r="AV271" i="3"/>
  <c r="BC132" i="3"/>
  <c r="AV54" i="3"/>
  <c r="AV384" i="3"/>
  <c r="BC384" i="3"/>
  <c r="AV439" i="3"/>
  <c r="BC439" i="3"/>
  <c r="BC400" i="3"/>
  <c r="BC347" i="3"/>
  <c r="AV347" i="3"/>
  <c r="AV285" i="3"/>
  <c r="BC285" i="3"/>
  <c r="BC321" i="3"/>
  <c r="AV321" i="3"/>
  <c r="BC297" i="3"/>
  <c r="AV297" i="3"/>
  <c r="AV68" i="3"/>
  <c r="BC68" i="3"/>
  <c r="BC113" i="3"/>
  <c r="BC63" i="3"/>
  <c r="AV63" i="3"/>
  <c r="BC81" i="3"/>
  <c r="BC69" i="3"/>
  <c r="BC17" i="3"/>
  <c r="AP292" i="3"/>
  <c r="H292" i="3"/>
  <c r="AL292" i="3" s="1"/>
  <c r="BJ292" i="3"/>
  <c r="AO292" i="3"/>
  <c r="BD292" i="3"/>
  <c r="BJ291" i="3"/>
  <c r="AP290" i="3"/>
  <c r="AX290" i="3" s="1"/>
  <c r="AO290" i="3"/>
  <c r="AW290" i="3" s="1"/>
  <c r="H290" i="3"/>
  <c r="AL290" i="3" s="1"/>
  <c r="BD290" i="3"/>
  <c r="AV454" i="3"/>
  <c r="BC454" i="3"/>
  <c r="AV455" i="3"/>
  <c r="BC455" i="3"/>
  <c r="AV420" i="3"/>
  <c r="BC420" i="3"/>
  <c r="BC452" i="3"/>
  <c r="AV452" i="3"/>
  <c r="BC338" i="3"/>
  <c r="AV338" i="3"/>
  <c r="AV229" i="3"/>
  <c r="BC229" i="3"/>
  <c r="AV328" i="3"/>
  <c r="BC328" i="3"/>
  <c r="BC324" i="3"/>
  <c r="AV324" i="3"/>
  <c r="AV274" i="3"/>
  <c r="BC274" i="3"/>
  <c r="BC215" i="3"/>
  <c r="BC123" i="3"/>
  <c r="AV123" i="3"/>
  <c r="AV59" i="3"/>
  <c r="BC424" i="3"/>
  <c r="BC377" i="3"/>
  <c r="AV377" i="3"/>
  <c r="AV450" i="3"/>
  <c r="BC450" i="3"/>
  <c r="AV284" i="3"/>
  <c r="BC284" i="3"/>
  <c r="AV266" i="3"/>
  <c r="BC266" i="3"/>
  <c r="AV240" i="3"/>
  <c r="BC240" i="3"/>
  <c r="AV222" i="3"/>
  <c r="BC222" i="3"/>
  <c r="BC205" i="3"/>
  <c r="AV205" i="3"/>
  <c r="AV196" i="3"/>
  <c r="BC196" i="3"/>
  <c r="AV180" i="3"/>
  <c r="BC180" i="3"/>
  <c r="AV172" i="3"/>
  <c r="BC172" i="3"/>
  <c r="AV374" i="3"/>
  <c r="BC374" i="3"/>
  <c r="AV268" i="3"/>
  <c r="BC268" i="3"/>
  <c r="AV216" i="3"/>
  <c r="BC216" i="3"/>
  <c r="BC361" i="3"/>
  <c r="AV361" i="3"/>
  <c r="AV318" i="3"/>
  <c r="BC318" i="3"/>
  <c r="AV298" i="3"/>
  <c r="BC298" i="3"/>
  <c r="AV183" i="3"/>
  <c r="BC183" i="3"/>
  <c r="AV181" i="3"/>
  <c r="BC28" i="3"/>
  <c r="BC115" i="3"/>
  <c r="BC37" i="3"/>
  <c r="AV37" i="3"/>
  <c r="BC27" i="3"/>
  <c r="AV27" i="3"/>
  <c r="AV174" i="3"/>
  <c r="BC174" i="3"/>
  <c r="BC453" i="3"/>
  <c r="AV453" i="3"/>
  <c r="BC431" i="3"/>
  <c r="AV431" i="3"/>
  <c r="BC416" i="3"/>
  <c r="BC403" i="3"/>
  <c r="BC408" i="3"/>
  <c r="AV408" i="3"/>
  <c r="AV412" i="3"/>
  <c r="BC412" i="3"/>
  <c r="AV330" i="3"/>
  <c r="BC330" i="3"/>
  <c r="AV242" i="3"/>
  <c r="BC242" i="3"/>
  <c r="AV392" i="3"/>
  <c r="BC392" i="3"/>
  <c r="BC373" i="3"/>
  <c r="AV373" i="3"/>
  <c r="AV331" i="3"/>
  <c r="BC331" i="3"/>
  <c r="AV327" i="3"/>
  <c r="BC327" i="3"/>
  <c r="AV305" i="3"/>
  <c r="BC305" i="3"/>
  <c r="BC280" i="3"/>
  <c r="BC267" i="3"/>
  <c r="AV434" i="3"/>
  <c r="BC434" i="3"/>
  <c r="AV359" i="3"/>
  <c r="BC359" i="3"/>
  <c r="AV344" i="3"/>
  <c r="BC344" i="3"/>
  <c r="AV228" i="3"/>
  <c r="BC189" i="3"/>
  <c r="BC165" i="3"/>
  <c r="AV165" i="3"/>
  <c r="AV223" i="3"/>
  <c r="AV206" i="3"/>
  <c r="AV190" i="3"/>
  <c r="BC190" i="3"/>
  <c r="AV250" i="3"/>
  <c r="BC175" i="3"/>
  <c r="BC159" i="3"/>
  <c r="AV159" i="3"/>
  <c r="BC145" i="3"/>
  <c r="AV145" i="3"/>
  <c r="BC135" i="3"/>
  <c r="AV135" i="3"/>
  <c r="BC127" i="3"/>
  <c r="AV127" i="3"/>
  <c r="BC119" i="3"/>
  <c r="AV119" i="3"/>
  <c r="AV345" i="3"/>
  <c r="BC345" i="3"/>
  <c r="AV226" i="3"/>
  <c r="BC226" i="3"/>
  <c r="AV269" i="3"/>
  <c r="BC269" i="3"/>
  <c r="BC140" i="3"/>
  <c r="AV140" i="3"/>
  <c r="BC38" i="3"/>
  <c r="AV200" i="3"/>
  <c r="BC200" i="3"/>
  <c r="AV147" i="3"/>
  <c r="BC147" i="3"/>
  <c r="BC90" i="3"/>
  <c r="AV90" i="3"/>
  <c r="BC18" i="3"/>
  <c r="AV18" i="3"/>
  <c r="BC96" i="3"/>
  <c r="BC448" i="3"/>
  <c r="AV448" i="3"/>
  <c r="BC410" i="3"/>
  <c r="AV410" i="3"/>
  <c r="AV362" i="3"/>
  <c r="BC362" i="3"/>
  <c r="BC444" i="3"/>
  <c r="AV444" i="3"/>
  <c r="AV273" i="3"/>
  <c r="BC273" i="3"/>
  <c r="AV255" i="3"/>
  <c r="BC255" i="3"/>
  <c r="AV315" i="3"/>
  <c r="BC315" i="3"/>
  <c r="AV429" i="3"/>
  <c r="BC429" i="3"/>
  <c r="AV182" i="3"/>
  <c r="BC182" i="3"/>
  <c r="BC276" i="3"/>
  <c r="AV258" i="3"/>
  <c r="AV204" i="3"/>
  <c r="BC173" i="3"/>
  <c r="BC139" i="3"/>
  <c r="AV139" i="3"/>
  <c r="BC131" i="3"/>
  <c r="AV131" i="3"/>
  <c r="BC241" i="3"/>
  <c r="BC232" i="3"/>
  <c r="AV217" i="3"/>
  <c r="BC217" i="3"/>
  <c r="AV166" i="3"/>
  <c r="BC166" i="3"/>
  <c r="BC153" i="3"/>
  <c r="AV153" i="3"/>
  <c r="BC65" i="3"/>
  <c r="AV65" i="3"/>
  <c r="AV203" i="3"/>
  <c r="BC203" i="3"/>
  <c r="AV66" i="3"/>
  <c r="BC66" i="3"/>
  <c r="AV171" i="3"/>
  <c r="BC171" i="3"/>
  <c r="BC14" i="3"/>
  <c r="AV14" i="3"/>
  <c r="BC457" i="3"/>
  <c r="AV457" i="3"/>
  <c r="AV378" i="3"/>
  <c r="BC378" i="3"/>
  <c r="BC275" i="3"/>
  <c r="AV275" i="3"/>
  <c r="BC257" i="3"/>
  <c r="AV257" i="3"/>
  <c r="AV249" i="3"/>
  <c r="BC249" i="3"/>
  <c r="AV231" i="3"/>
  <c r="BC231" i="3"/>
  <c r="AV214" i="3"/>
  <c r="BC214" i="3"/>
  <c r="AV188" i="3"/>
  <c r="BC188" i="3"/>
  <c r="BC390" i="3"/>
  <c r="AV390" i="3"/>
  <c r="AV358" i="3"/>
  <c r="BC358" i="3"/>
  <c r="AV372" i="3"/>
  <c r="BC372" i="3"/>
  <c r="AV308" i="3"/>
  <c r="BC308" i="3"/>
  <c r="BC197" i="3"/>
  <c r="AV342" i="3"/>
  <c r="BC342" i="3"/>
  <c r="BC114" i="3"/>
  <c r="AV114" i="3"/>
  <c r="BC58" i="3"/>
  <c r="AV58" i="3"/>
  <c r="BC47" i="3"/>
  <c r="AV47" i="3"/>
  <c r="BC449" i="3"/>
  <c r="AV449" i="3"/>
  <c r="BC456" i="3"/>
  <c r="AV456" i="3"/>
  <c r="AV443" i="3"/>
  <c r="BC443" i="3"/>
  <c r="BC438" i="3"/>
  <c r="AV430" i="3"/>
  <c r="BC430" i="3"/>
  <c r="AV458" i="3"/>
  <c r="BC458" i="3"/>
  <c r="AV447" i="3"/>
  <c r="BC447" i="3"/>
  <c r="AV379" i="3"/>
  <c r="BC379" i="3"/>
  <c r="AV428" i="3"/>
  <c r="BC428" i="3"/>
  <c r="AV279" i="3"/>
  <c r="BC279" i="3"/>
  <c r="BC270" i="3"/>
  <c r="AV270" i="3"/>
  <c r="AV261" i="3"/>
  <c r="BC261" i="3"/>
  <c r="AV253" i="3"/>
  <c r="BC253" i="3"/>
  <c r="AV244" i="3"/>
  <c r="BC244" i="3"/>
  <c r="AV236" i="3"/>
  <c r="BC236" i="3"/>
  <c r="AV227" i="3"/>
  <c r="BC227" i="3"/>
  <c r="AV218" i="3"/>
  <c r="BC218" i="3"/>
  <c r="AV209" i="3"/>
  <c r="BC209" i="3"/>
  <c r="AV201" i="3"/>
  <c r="BC201" i="3"/>
  <c r="BC192" i="3"/>
  <c r="AV192" i="3"/>
  <c r="AV184" i="3"/>
  <c r="BC184" i="3"/>
  <c r="BC176" i="3"/>
  <c r="AV176" i="3"/>
  <c r="AV401" i="3"/>
  <c r="BC401" i="3"/>
  <c r="AV348" i="3"/>
  <c r="BC348" i="3"/>
  <c r="C19" i="1"/>
  <c r="AV211" i="3"/>
  <c r="BC211" i="3"/>
  <c r="AV391" i="3"/>
  <c r="BC391" i="3"/>
  <c r="BC389" i="3"/>
  <c r="AV363" i="3"/>
  <c r="BC363" i="3"/>
  <c r="AV356" i="3"/>
  <c r="BC356" i="3"/>
  <c r="AV341" i="3"/>
  <c r="BC341" i="3"/>
  <c r="BC110" i="3"/>
  <c r="AV110" i="3"/>
  <c r="AV256" i="3"/>
  <c r="BC256" i="3"/>
  <c r="AV161" i="3"/>
  <c r="BC161" i="3"/>
  <c r="BC151" i="3"/>
  <c r="AV87" i="3"/>
  <c r="BC87" i="3"/>
  <c r="BC19" i="3"/>
  <c r="BC53" i="3"/>
  <c r="AV53" i="3"/>
  <c r="BC42" i="3"/>
  <c r="AV42" i="3"/>
  <c r="BC33" i="3"/>
  <c r="AV33" i="3"/>
  <c r="BC23" i="3"/>
  <c r="AV23" i="3"/>
  <c r="BH292" i="3" l="1"/>
  <c r="AD292" i="3" s="1"/>
  <c r="AW292" i="3"/>
  <c r="BI292" i="3"/>
  <c r="AE292" i="3" s="1"/>
  <c r="AX292" i="3"/>
  <c r="AO291" i="3"/>
  <c r="BH291" i="3" s="1"/>
  <c r="AD291" i="3" s="1"/>
  <c r="BD291" i="3"/>
  <c r="AP291" i="3"/>
  <c r="AX291" i="3" s="1"/>
  <c r="H291" i="3"/>
  <c r="AL291" i="3" s="1"/>
  <c r="AU289" i="3" s="1"/>
  <c r="BI290" i="3"/>
  <c r="AE290" i="3" s="1"/>
  <c r="BC290" i="3"/>
  <c r="BH290" i="3"/>
  <c r="AD290" i="3" s="1"/>
  <c r="AV290" i="3"/>
  <c r="AV292" i="3" l="1"/>
  <c r="BC292" i="3"/>
  <c r="AW291" i="3"/>
  <c r="BI291" i="3"/>
  <c r="AE291" i="3" s="1"/>
  <c r="C17" i="1" s="1"/>
  <c r="H289" i="3"/>
  <c r="H460" i="3" s="1"/>
  <c r="H462" i="3" s="1"/>
  <c r="C16" i="1"/>
  <c r="BC291" i="3"/>
  <c r="AV291" i="3"/>
  <c r="H12" i="3"/>
  <c r="C22" i="1" l="1"/>
  <c r="C24" i="1" s="1"/>
  <c r="H21" i="2" s="1"/>
  <c r="I21" i="2" s="1"/>
  <c r="I27" i="2" s="1"/>
  <c r="F29" i="2" s="1"/>
  <c r="I14" i="1" l="1"/>
  <c r="I22" i="1" s="1"/>
  <c r="C30" i="1" s="1"/>
  <c r="F30" i="1" s="1"/>
  <c r="I29" i="1" l="1"/>
  <c r="I30" i="1" s="1"/>
</calcChain>
</file>

<file path=xl/sharedStrings.xml><?xml version="1.0" encoding="utf-8"?>
<sst xmlns="http://schemas.openxmlformats.org/spreadsheetml/2006/main" count="8869" uniqueCount="1697">
  <si>
    <t>Krycí list slepého rozpočtu</t>
  </si>
  <si>
    <t>Název stavby:</t>
  </si>
  <si>
    <t>Objednatel:</t>
  </si>
  <si>
    <t>IČO/DIČ:</t>
  </si>
  <si>
    <t>00231151/CZ00231151</t>
  </si>
  <si>
    <t>Druh stavby:</t>
  </si>
  <si>
    <t>Projektant:</t>
  </si>
  <si>
    <t>27145611/CZ27145611</t>
  </si>
  <si>
    <t>Lokalita:</t>
  </si>
  <si>
    <t>Zhotovitel:</t>
  </si>
  <si>
    <t/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</si>
  <si>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</si>
  <si>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</si>
  <si>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</si>
  <si>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</si>
  <si>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</si>
  <si>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</si>
  <si>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</si>
  <si>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</si>
  <si>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</si>
  <si>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</si>
  <si>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</si>
  <si>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</si>
  <si>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</si>
  <si>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</si>
  <si>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</si>
  <si>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</si>
  <si>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</si>
  <si>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</si>
  <si>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</si>
  <si>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</si>
  <si>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</si>
  <si>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</si>
  <si>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</si>
  <si>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</si>
  <si>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</si>
  <si>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</si>
  <si>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</si>
  <si>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</si>
  <si>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</si>
  <si>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před slevou</t>
  </si>
  <si>
    <t>DN celkem</t>
  </si>
  <si>
    <t>NUS celkem</t>
  </si>
  <si>
    <t>Sleva %</t>
  </si>
  <si>
    <t>DN celkem z obj.</t>
  </si>
  <si>
    <t>NUS celkem z obj.</t>
  </si>
  <si>
    <t>ZRN po slevě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</si>
  <si>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</si>
  <si>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</si>
  <si>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</si>
  <si>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</si>
  <si>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</si>
  <si>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</si>
  <si>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</si>
  <si>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</si>
  <si>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</si>
  <si>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</si>
  <si>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</si>
  <si>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</si>
  <si>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</si>
  <si>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</si>
  <si>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</si>
  <si>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</si>
  <si>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</si>
  <si>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</si>
  <si>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</si>
  <si>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</si>
  <si>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</si>
  <si>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</si>
  <si>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</si>
  <si>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</si>
  <si>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</si>
  <si>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</si>
  <si>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REKONSTRUKCE KUCHYNĚ -  ZŠ ZÁRUBOVA</t>
  </si>
  <si>
    <t>Doba výstavby:</t>
  </si>
  <si>
    <t xml:space="preserve"> </t>
  </si>
  <si>
    <t>Městská část Praha 12,Generála Šišky 2375/6, Praha</t>
  </si>
  <si>
    <t>Oprava a rekonstrukce</t>
  </si>
  <si>
    <t>MIKRO PRAHA spol s.r.</t>
  </si>
  <si>
    <t>ZÁRUBOVA 977/17, K.Ú. KAMÝK, PRAHA 12</t>
  </si>
  <si>
    <t>Zpracováno dne: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</si>
  <si>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</si>
  <si>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</si>
  <si>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</si>
  <si>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</si>
  <si>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</si>
  <si>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</si>
  <si>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</si>
  <si>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</si>
  <si>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</si>
  <si>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</si>
  <si>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</si>
  <si>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</si>
  <si>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</si>
  <si>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</si>
  <si>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</si>
  <si>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</si>
  <si>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</si>
  <si>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</si>
  <si>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</si>
  <si>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</si>
  <si>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</si>
  <si>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</si>
  <si>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</si>
  <si>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</si>
  <si>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</si>
  <si>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</si>
  <si>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</si>
  <si>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11</t>
  </si>
  <si>
    <t>Přípravné a přidružené práce</t>
  </si>
  <si>
    <t>1</t>
  </si>
  <si>
    <t>111301111R00</t>
  </si>
  <si>
    <t>Sejmutí drnu tl. do 10 cm, s přemístěním do 50 m</t>
  </si>
  <si>
    <t>m2</t>
  </si>
  <si>
    <t>11_</t>
  </si>
  <si>
    <t>_1_</t>
  </si>
  <si>
    <t>_</t>
  </si>
  <si>
    <t>P</t>
  </si>
  <si>
    <t>2</t>
  </si>
  <si>
    <t>112201101R00</t>
  </si>
  <si>
    <t>Odstranění pařezů pod úrovní, o průměru 10 - 30 cm</t>
  </si>
  <si>
    <t>kus</t>
  </si>
  <si>
    <t>3</t>
  </si>
  <si>
    <t>112101121R00</t>
  </si>
  <si>
    <t>Kácení stromů jehličnatých o průměru kmene 10-30cm</t>
  </si>
  <si>
    <t>4</t>
  </si>
  <si>
    <t>113107320R00</t>
  </si>
  <si>
    <t>Odstranění podkladu ,kam.těžené tl.20 cm</t>
  </si>
  <si>
    <t>5</t>
  </si>
  <si>
    <t>113108312R00</t>
  </si>
  <si>
    <t>Odstranění asfaltové vrstvy , tl.12 cm</t>
  </si>
  <si>
    <t>6</t>
  </si>
  <si>
    <t>113109305R00</t>
  </si>
  <si>
    <t>Odstranění podkladu , bet.prostý tl.5 cm</t>
  </si>
  <si>
    <t>7</t>
  </si>
  <si>
    <t>113204111R00</t>
  </si>
  <si>
    <t>Vytrhání obrubníků zahradních</t>
  </si>
  <si>
    <t>m</t>
  </si>
  <si>
    <t>13</t>
  </si>
  <si>
    <t>Hloubené vykopávky</t>
  </si>
  <si>
    <t>8</t>
  </si>
  <si>
    <t>139711101RT3</t>
  </si>
  <si>
    <t>Vykopávka rýh v  hor.1-4 ručně (vnější tuková)</t>
  </si>
  <si>
    <t>m3</t>
  </si>
  <si>
    <t>13_</t>
  </si>
  <si>
    <t>9</t>
  </si>
  <si>
    <t>161101501R00</t>
  </si>
  <si>
    <t>Svislé přemístění výkopku z hor. 1-4 ruční</t>
  </si>
  <si>
    <t>10</t>
  </si>
  <si>
    <t>162201201R00</t>
  </si>
  <si>
    <t>Vodorovné přemíst. výkopku nošením hor.1-4, do 10m</t>
  </si>
  <si>
    <t>162201209R00</t>
  </si>
  <si>
    <t>Příplatek za dalších 10 m nošení výkopku z hor.1-4 celkem 40m</t>
  </si>
  <si>
    <t>12</t>
  </si>
  <si>
    <t>132301210R00</t>
  </si>
  <si>
    <t>Hloubení rýh š.do 200 cm hor.4 (nový chodník)</t>
  </si>
  <si>
    <t>133201101R00</t>
  </si>
  <si>
    <t>Hloubení šachet v hor.3 do 100 m3</t>
  </si>
  <si>
    <t>14</t>
  </si>
  <si>
    <t>139711101R00</t>
  </si>
  <si>
    <t>Vykopávka v uzavřených prostorách v hor.1-4</t>
  </si>
  <si>
    <t>15</t>
  </si>
  <si>
    <t>Roubení</t>
  </si>
  <si>
    <t>151201101R00</t>
  </si>
  <si>
    <t>Pažení a rozepření stěn rýh - zátažné - hl. do 2 m lapol</t>
  </si>
  <si>
    <t>15_</t>
  </si>
  <si>
    <t>16</t>
  </si>
  <si>
    <t>151201111R00</t>
  </si>
  <si>
    <t>Odstranění pažení stěn rýh - zátažné - hl. do 2 m</t>
  </si>
  <si>
    <t>Přemístění výkopku</t>
  </si>
  <si>
    <t>17</t>
  </si>
  <si>
    <t>167101101R00</t>
  </si>
  <si>
    <t>Nakládání výkopku z hor.1-4 v množství do 100 m3</t>
  </si>
  <si>
    <t>16_</t>
  </si>
  <si>
    <t>18</t>
  </si>
  <si>
    <t>162701105R00</t>
  </si>
  <si>
    <t>Vodorovné přemístění výkopku z hor.1-4 do 10000 m</t>
  </si>
  <si>
    <t>19</t>
  </si>
  <si>
    <t>162701109R00</t>
  </si>
  <si>
    <t>Příplatek k vod. přemístění hor.1-4 za další 1 km celkem 20km</t>
  </si>
  <si>
    <t>20</t>
  </si>
  <si>
    <t>979999973R00</t>
  </si>
  <si>
    <t>Poplatek za uložení, zemina a kamení, (skup.170504)</t>
  </si>
  <si>
    <t>t</t>
  </si>
  <si>
    <t>21</t>
  </si>
  <si>
    <t>162201475R00</t>
  </si>
  <si>
    <t>Vodorovné přemístění pařezů  D 30 cm do 3000 m</t>
  </si>
  <si>
    <t>22</t>
  </si>
  <si>
    <t>162201471R00</t>
  </si>
  <si>
    <t>Vod.přemístění kmenů jehlič., D 30cm  do 3000 m</t>
  </si>
  <si>
    <t>Konstrukce ze zemin</t>
  </si>
  <si>
    <t>23</t>
  </si>
  <si>
    <t>175100020RAC</t>
  </si>
  <si>
    <t>Obsyp potrubí štěrkopískem</t>
  </si>
  <si>
    <t>17_</t>
  </si>
  <si>
    <t>24</t>
  </si>
  <si>
    <t>175200010RAA</t>
  </si>
  <si>
    <t>Obsyp objektu prohozenou zeminou</t>
  </si>
  <si>
    <t>25</t>
  </si>
  <si>
    <t>175200022RA0</t>
  </si>
  <si>
    <t>Obsyp objektu štěrkopískem</t>
  </si>
  <si>
    <t>26</t>
  </si>
  <si>
    <t>175100010RAA</t>
  </si>
  <si>
    <t>Obsyp potrubí prohozenou zeminou</t>
  </si>
  <si>
    <t>Povrchové úpravy terénu</t>
  </si>
  <si>
    <t>27</t>
  </si>
  <si>
    <t>181301102R00</t>
  </si>
  <si>
    <t>Rozprostření ornice, rovina, tl. 10-15 cm,do 500m2</t>
  </si>
  <si>
    <t>18_</t>
  </si>
  <si>
    <t>28</t>
  </si>
  <si>
    <t>183403241R001</t>
  </si>
  <si>
    <t>Obnova starého trávníku rytím,hrabáním včetně výsevu nového trávníku</t>
  </si>
  <si>
    <t>29</t>
  </si>
  <si>
    <t>184201111R00</t>
  </si>
  <si>
    <t>Výsadba stromu při výšce kmene do 1,8 m, v rovině tůje včetně opor</t>
  </si>
  <si>
    <t>Základy</t>
  </si>
  <si>
    <t>30</t>
  </si>
  <si>
    <t>273313621R001</t>
  </si>
  <si>
    <t>Beton základových desek prostý C 20/25 pod odlučovač tuků YG504E</t>
  </si>
  <si>
    <t>27_</t>
  </si>
  <si>
    <t>_2_</t>
  </si>
  <si>
    <t>34</t>
  </si>
  <si>
    <t>Stěny a příčky</t>
  </si>
  <si>
    <t>31</t>
  </si>
  <si>
    <t>342254611R00</t>
  </si>
  <si>
    <t>Příčky z desek pórobetonových tl. 100 mm</t>
  </si>
  <si>
    <t>34_</t>
  </si>
  <si>
    <t>_3_</t>
  </si>
  <si>
    <t>32</t>
  </si>
  <si>
    <t>349234841R0A</t>
  </si>
  <si>
    <t>Sokl cihelný 150 mm   (škrabka) výška 200 mm</t>
  </si>
  <si>
    <t>33</t>
  </si>
  <si>
    <t>311112315RT3</t>
  </si>
  <si>
    <t>Stěna z tvárnic ztraceného bednění Best, tl. 150 mm zalití tvárnic betonem C 20/25</t>
  </si>
  <si>
    <t>311361221R00</t>
  </si>
  <si>
    <t>Výztuž nadzákladových zdí z betonářské oceli 10 216 (E)</t>
  </si>
  <si>
    <t>35</t>
  </si>
  <si>
    <t>342012322RT4</t>
  </si>
  <si>
    <t>Příčka sádrokartonová tl. 125 mm, 1x ocelová konstrukce CW 100, izolace,1x opláštěná, RF tl. 12,5 mm nade dveřmi</t>
  </si>
  <si>
    <t>36</t>
  </si>
  <si>
    <t>342016121R00</t>
  </si>
  <si>
    <t>Příčka sádrokartonová tl. 150 mm, 2x ocelová konstrukce CW 50, izolace, 2x opláštěná, RB 12,5 mm uzpůsobená pro vložení kastlíků na rolety výdeje</t>
  </si>
  <si>
    <t>56</t>
  </si>
  <si>
    <t>Vrstvy komunikací</t>
  </si>
  <si>
    <t>37</t>
  </si>
  <si>
    <t>564851111R00</t>
  </si>
  <si>
    <t>Podklad ze štěrkodrti po zhutnění tloušťky 15 cm</t>
  </si>
  <si>
    <t>56_</t>
  </si>
  <si>
    <t>_5_</t>
  </si>
  <si>
    <t>38</t>
  </si>
  <si>
    <t>564231111R00</t>
  </si>
  <si>
    <t>Podklad ze štěrkopísku po zhutnění tloušťky 10 cm</t>
  </si>
  <si>
    <t>39</t>
  </si>
  <si>
    <t>596811111RV4</t>
  </si>
  <si>
    <t>Kladení dlaždic kom.pro pěší, lože z kameniva těž.včetně dlažby betonové vymývané 50/50/6 cm</t>
  </si>
  <si>
    <t>40</t>
  </si>
  <si>
    <t>917812111RT5</t>
  </si>
  <si>
    <t>Osazení stojat. obrub. bet. bez opěry,lože z kamen včetně obrubníku</t>
  </si>
  <si>
    <t>41</t>
  </si>
  <si>
    <t>596291113R00</t>
  </si>
  <si>
    <t>Řezání betonové dlažby do tl. 80 mm</t>
  </si>
  <si>
    <t>42</t>
  </si>
  <si>
    <t>599432111R00</t>
  </si>
  <si>
    <t>Výplň spár dlažby z lomového kamene kam.těženým</t>
  </si>
  <si>
    <t>61</t>
  </si>
  <si>
    <t>Úprava povrchů vnitřní</t>
  </si>
  <si>
    <t>43</t>
  </si>
  <si>
    <t>612433212RT1</t>
  </si>
  <si>
    <t>Omítka sanační vnitřní, střední zasolení, tl.25 mm sanační postřik, podkladní sanační omítka, jádrová sanační omítka</t>
  </si>
  <si>
    <t>61_</t>
  </si>
  <si>
    <t>_6_</t>
  </si>
  <si>
    <t>44</t>
  </si>
  <si>
    <t>612403388R00</t>
  </si>
  <si>
    <t>D+M Hrubá výplň rýh ve stěnách do  maltou z SMS</t>
  </si>
  <si>
    <t>45</t>
  </si>
  <si>
    <t>612423521R00</t>
  </si>
  <si>
    <t>D+MOmítka rýh stěn vápenná šířky do 15 cm, hladká</t>
  </si>
  <si>
    <t>46</t>
  </si>
  <si>
    <t>612421431RT2</t>
  </si>
  <si>
    <t>D+M Oprava MVC.omítek stěn s použitím suché maltové směsi</t>
  </si>
  <si>
    <t>47</t>
  </si>
  <si>
    <t>612481211RT3</t>
  </si>
  <si>
    <t>D+M Montáž výztužné sítě(perlinky)do stěrky</t>
  </si>
  <si>
    <t>48</t>
  </si>
  <si>
    <t>601029141R00</t>
  </si>
  <si>
    <t>D+M Štuk z pastovitých směsí 2 mm, ručně</t>
  </si>
  <si>
    <t>63</t>
  </si>
  <si>
    <t>Podlahy a podlahové konstrukce</t>
  </si>
  <si>
    <t>49</t>
  </si>
  <si>
    <t>631316231R00</t>
  </si>
  <si>
    <t>Hlazení betonových mazanin, strojně</t>
  </si>
  <si>
    <t>63_</t>
  </si>
  <si>
    <t>50</t>
  </si>
  <si>
    <t>631313711RT9</t>
  </si>
  <si>
    <t>D+M Mazanina betonová tl. 8 - 12 cm C 25/30 s rozptýlenou výztuží  (drátkobeton)</t>
  </si>
  <si>
    <t>51</t>
  </si>
  <si>
    <t>631313621RM1</t>
  </si>
  <si>
    <t>Mazanina betonová tl. 8 - 12 cm C 20/25 z betonu prostého   oprava po výkopu kanalzace</t>
  </si>
  <si>
    <t>52</t>
  </si>
  <si>
    <t>632411105R00</t>
  </si>
  <si>
    <t>Samonivelační stěrka Cemix, ruční zpracování tl. 5 mm  nouzový východ</t>
  </si>
  <si>
    <t>64</t>
  </si>
  <si>
    <t>Výplně otvorů</t>
  </si>
  <si>
    <t>53</t>
  </si>
  <si>
    <t>642944121RU5</t>
  </si>
  <si>
    <t>D+M Osazení ocelových zárubní včetně dodávky zárubně</t>
  </si>
  <si>
    <t>64_</t>
  </si>
  <si>
    <t>711</t>
  </si>
  <si>
    <t>Izolace proti vodě</t>
  </si>
  <si>
    <t>54</t>
  </si>
  <si>
    <t>711141559RY5</t>
  </si>
  <si>
    <t>D+M Izolace proti vlhk. přitavením včetně penetrace a dodávky izolačních pasú</t>
  </si>
  <si>
    <t>711_</t>
  </si>
  <si>
    <t>_71_</t>
  </si>
  <si>
    <t>713</t>
  </si>
  <si>
    <t>Izolace tepelné</t>
  </si>
  <si>
    <t>55</t>
  </si>
  <si>
    <t>713121411RT3</t>
  </si>
  <si>
    <t>D+Montáž tepelné izolace styrodur 200 mm</t>
  </si>
  <si>
    <t>713_</t>
  </si>
  <si>
    <t>721</t>
  </si>
  <si>
    <t>Vnitřní kanalizace</t>
  </si>
  <si>
    <t>721140806R00</t>
  </si>
  <si>
    <t>Demontáž potrubí litinového do DN 200 mm</t>
  </si>
  <si>
    <t>721_</t>
  </si>
  <si>
    <t>_72_</t>
  </si>
  <si>
    <t>57</t>
  </si>
  <si>
    <t>721176222R00</t>
  </si>
  <si>
    <t>Potrubí KG svodné (ležaté)  D 110 x 3,2 mm</t>
  </si>
  <si>
    <t>58</t>
  </si>
  <si>
    <t>721176223R00</t>
  </si>
  <si>
    <t>Potrubí KG svodné (ležaté) , D 125 x 3,2 mm</t>
  </si>
  <si>
    <t>59</t>
  </si>
  <si>
    <t>721176224R00</t>
  </si>
  <si>
    <t>Potrubí KG svodné (ležaté)  D 160 x 4,0 mm</t>
  </si>
  <si>
    <t>60</t>
  </si>
  <si>
    <t>721176134R00</t>
  </si>
  <si>
    <t>Potrubí HT svodné (ležaté) zavěšené, D 75 x 1,9 mm</t>
  </si>
  <si>
    <t>721176135R00</t>
  </si>
  <si>
    <t>Potrubí HT svodné (ležaté) zavěšené, D 110 x 2,7 mm</t>
  </si>
  <si>
    <t>62</t>
  </si>
  <si>
    <t>721176136R00</t>
  </si>
  <si>
    <t>Potrubí HT svodné (ležaté) zavěšené, D 125 x 3,1 mm</t>
  </si>
  <si>
    <t>721176137R00</t>
  </si>
  <si>
    <t>Potrubí HT svodné (ležaté) zavěšené, D 160 x 3,9 mm</t>
  </si>
  <si>
    <t>721176115R00</t>
  </si>
  <si>
    <t>Potrubí HT odpadní svislé, D 110 x 2,7 mm</t>
  </si>
  <si>
    <t>65</t>
  </si>
  <si>
    <t>721176101R00</t>
  </si>
  <si>
    <t>Potrubí HT připojovací, D 32 x 1,8 mm</t>
  </si>
  <si>
    <t>66</t>
  </si>
  <si>
    <t>721176102R00</t>
  </si>
  <si>
    <t>Potrubí HT připojovací, D 40 x 1,8 mm</t>
  </si>
  <si>
    <t>67</t>
  </si>
  <si>
    <t>721176103R00</t>
  </si>
  <si>
    <t>Potrubí HT připojovací, D 50 x 1,8 mm</t>
  </si>
  <si>
    <t>68</t>
  </si>
  <si>
    <t>721176104R00</t>
  </si>
  <si>
    <t>Potrubí HT připojovací, D 75 x 1,9 mm</t>
  </si>
  <si>
    <t>69</t>
  </si>
  <si>
    <t>721176105R00</t>
  </si>
  <si>
    <t>Potrubí HT připojovací, D 110 x 2,7 mm</t>
  </si>
  <si>
    <t>70</t>
  </si>
  <si>
    <t>721990902VD</t>
  </si>
  <si>
    <t>D+M Kalich pro úkapy k odvedení kondenzátu (pračkový sifon)</t>
  </si>
  <si>
    <t>KS</t>
  </si>
  <si>
    <t>71</t>
  </si>
  <si>
    <t>721990902VDA</t>
  </si>
  <si>
    <t>D+M Napojovací souprava pro AP a myčku 50 (pračkový sifon)</t>
  </si>
  <si>
    <t>72</t>
  </si>
  <si>
    <t>721140915R00</t>
  </si>
  <si>
    <t>zazátkování kanalizačního potubí K3/DN110</t>
  </si>
  <si>
    <t>73</t>
  </si>
  <si>
    <t>721194105R00</t>
  </si>
  <si>
    <t>Vyvedení odpadních výpustek do DN 110</t>
  </si>
  <si>
    <t>74</t>
  </si>
  <si>
    <t>721210813R00</t>
  </si>
  <si>
    <t>Demontáž vpusti DN 100</t>
  </si>
  <si>
    <t>75</t>
  </si>
  <si>
    <t>721211520R00</t>
  </si>
  <si>
    <t>D+M Zpětná klapka z polypropylenu, s automatickým uzávěrem, dle ČSN EN 13564, typ 0, pro odpadní vody bez fékálií, proti šíření zápachu a proti vzduté</t>
  </si>
  <si>
    <t>76</t>
  </si>
  <si>
    <t>721223430RT1</t>
  </si>
  <si>
    <t>Vpusť podlahová s uzávěrem proti vzduté vodě DN 100</t>
  </si>
  <si>
    <t>77</t>
  </si>
  <si>
    <t>721223424RT1</t>
  </si>
  <si>
    <t>Vpusť podlahová se zápachovou uzávěrkou DN 100</t>
  </si>
  <si>
    <t>78</t>
  </si>
  <si>
    <t>721223423RT2</t>
  </si>
  <si>
    <t>Vpusť podlahová se zápachovou uzávěrkou mřížka nerez  výměna</t>
  </si>
  <si>
    <t>79</t>
  </si>
  <si>
    <t>721170909R00</t>
  </si>
  <si>
    <t>D+M potrubí PVC odpadní, vsazení odbočky D 110</t>
  </si>
  <si>
    <t>80</t>
  </si>
  <si>
    <t>721211550RT4</t>
  </si>
  <si>
    <t>Vpusť dvorní HL616, klapka, lapač, příruba litinová mřížka</t>
  </si>
  <si>
    <t>81</t>
  </si>
  <si>
    <t>721273200RT2</t>
  </si>
  <si>
    <t>D+M Souprava ventilační střešní s potrubím v šachtě (fasáda)</t>
  </si>
  <si>
    <t>82</t>
  </si>
  <si>
    <t>721273150R00</t>
  </si>
  <si>
    <t>D+M Hlavice ventilační přivětrávací vnitřní</t>
  </si>
  <si>
    <t>83</t>
  </si>
  <si>
    <t>721290112R00</t>
  </si>
  <si>
    <t>Zkouška těsnosti kanalizace vodou DN 200 mm</t>
  </si>
  <si>
    <t>84</t>
  </si>
  <si>
    <t>721110918R00</t>
  </si>
  <si>
    <t>D+M Napojení přípojky na stávající veřejnou stoku</t>
  </si>
  <si>
    <t>85</t>
  </si>
  <si>
    <t>721152338R00</t>
  </si>
  <si>
    <t>D+M Čisticí kus - odp. svislé D110</t>
  </si>
  <si>
    <t>86</t>
  </si>
  <si>
    <t>72129082RLS</t>
  </si>
  <si>
    <t>D+M odlučovač tuků  včetně poklopu světlosti  Ns  elipse  charakteru,  šířky 1600  mm,  výšky 1700 mm, délky 2400m</t>
  </si>
  <si>
    <t>soubor</t>
  </si>
  <si>
    <t>87</t>
  </si>
  <si>
    <t>721990980VD</t>
  </si>
  <si>
    <t>Provozní řád odlučovače tuků</t>
  </si>
  <si>
    <t>88</t>
  </si>
  <si>
    <t>721290822R00</t>
  </si>
  <si>
    <t>Přesun vybouraných hmot - kanalizace, vodovod H 6 - 12 m včetně ekologické likvidace</t>
  </si>
  <si>
    <t>89</t>
  </si>
  <si>
    <t>721100103VDKP</t>
  </si>
  <si>
    <t>Kamerový průzkum kanalizace</t>
  </si>
  <si>
    <t>kpl</t>
  </si>
  <si>
    <t>722</t>
  </si>
  <si>
    <t>Vnitřní vodovod</t>
  </si>
  <si>
    <t>90</t>
  </si>
  <si>
    <t>722174914R00</t>
  </si>
  <si>
    <t>Sestavení plastového rozvodu vody D 32 mm</t>
  </si>
  <si>
    <t>722_</t>
  </si>
  <si>
    <t>91</t>
  </si>
  <si>
    <t>722110811R00</t>
  </si>
  <si>
    <t>zátka na potrubí zaslepení</t>
  </si>
  <si>
    <t>ks</t>
  </si>
  <si>
    <t>92</t>
  </si>
  <si>
    <t>722172311R00</t>
  </si>
  <si>
    <t>D+M Potrubí plastové PP-R  D 20 x 2,8 mm, PN 20</t>
  </si>
  <si>
    <t>93</t>
  </si>
  <si>
    <t>722172312R00</t>
  </si>
  <si>
    <t>D+M Potrubí plastové PP-R , D 25 x 3,5 mm, PN 20</t>
  </si>
  <si>
    <t>94</t>
  </si>
  <si>
    <t>722172313R00</t>
  </si>
  <si>
    <t>D+M Potrubí plastové PP-R  D 32 x 4,4 mm, PN 20</t>
  </si>
  <si>
    <t>95</t>
  </si>
  <si>
    <t>722172314R00</t>
  </si>
  <si>
    <t>D+M Potrubí plastové PP-R , D 40 x 5,5 mm, PN 20</t>
  </si>
  <si>
    <t>96</t>
  </si>
  <si>
    <t>722172315R00</t>
  </si>
  <si>
    <t>D+M Potrubí plastové PP-R , D 50 x 6,9 mm, PN 20</t>
  </si>
  <si>
    <t>97</t>
  </si>
  <si>
    <t>722181215RW6A</t>
  </si>
  <si>
    <t>D+M Izolace návleková tl. stěny 25 mm DN 50 polyethylenová</t>
  </si>
  <si>
    <t>98</t>
  </si>
  <si>
    <t>722181215RV9A</t>
  </si>
  <si>
    <t>D+M Izolace návleková tl. stěny 25 mm do DN 40 polyethylenová</t>
  </si>
  <si>
    <t>99</t>
  </si>
  <si>
    <t>722181215RU1A</t>
  </si>
  <si>
    <t>D+M Izolace návleková tl. stěny 25 mm DN 32 polyethylenová</t>
  </si>
  <si>
    <t>100</t>
  </si>
  <si>
    <t>722181215RT8A</t>
  </si>
  <si>
    <t>D+M zolace návleková tl. stěny 25 mm DN 25 polyethylenová</t>
  </si>
  <si>
    <t>101</t>
  </si>
  <si>
    <t>722181215RT7A</t>
  </si>
  <si>
    <t>D+M Izolace návleková tl. stěny 25 mm DN20 polyethylenová DN 20</t>
  </si>
  <si>
    <t>102</t>
  </si>
  <si>
    <t>722290234R00</t>
  </si>
  <si>
    <t>Proplach a dezinfekce vodovodního potrubí DN 80 mm</t>
  </si>
  <si>
    <t>103</t>
  </si>
  <si>
    <t>722290215R00</t>
  </si>
  <si>
    <t>Tlaková zkouěka vodovodního potrubá do DN 80</t>
  </si>
  <si>
    <t>104</t>
  </si>
  <si>
    <t>7222456VD</t>
  </si>
  <si>
    <t>D+M nezánrzný ventil s hadičníkem</t>
  </si>
  <si>
    <t>105</t>
  </si>
  <si>
    <t>722130801R00</t>
  </si>
  <si>
    <t>Demontáž vodovodního potrubí do  DN 32</t>
  </si>
  <si>
    <t>106</t>
  </si>
  <si>
    <t>722220851R00</t>
  </si>
  <si>
    <t>Demontáž armatur s jedním závitem</t>
  </si>
  <si>
    <t>107</t>
  </si>
  <si>
    <t>722131934R00</t>
  </si>
  <si>
    <t>Propojení dosavadního potrubí</t>
  </si>
  <si>
    <t>108</t>
  </si>
  <si>
    <t>722235113R0A</t>
  </si>
  <si>
    <t>D+M Kulový kohout - G 1/2</t>
  </si>
  <si>
    <t>109</t>
  </si>
  <si>
    <t>722235113R00</t>
  </si>
  <si>
    <t>D+M Kohout vodovodní, kulový, , DN 25 mm</t>
  </si>
  <si>
    <t>110</t>
  </si>
  <si>
    <t>722235114R00</t>
  </si>
  <si>
    <t>Kohout vodovodní, kulový, DN 32 mm</t>
  </si>
  <si>
    <t>111</t>
  </si>
  <si>
    <t>722235115R00</t>
  </si>
  <si>
    <t>D+M Kohout vodovodní, kulový,  DN 40 mm</t>
  </si>
  <si>
    <t>112</t>
  </si>
  <si>
    <t>722190402R00</t>
  </si>
  <si>
    <t>D+M Vyvedení a upevnění výpustek DN 20 mm</t>
  </si>
  <si>
    <t>113</t>
  </si>
  <si>
    <t>722220122R001</t>
  </si>
  <si>
    <t>D+M nástěnky dvojité pro výtokový ventil či vodovodní baterii z červeného bronzu, kompatibilní s potrubím PeXc,D 20x1/2"</t>
  </si>
  <si>
    <t>pár</t>
  </si>
  <si>
    <t>725</t>
  </si>
  <si>
    <t>Zařizovací předměty</t>
  </si>
  <si>
    <t>114</t>
  </si>
  <si>
    <t>7259913VD</t>
  </si>
  <si>
    <t>mřížka krycí přivzdušňovacího ventilu 300x300</t>
  </si>
  <si>
    <t>725_</t>
  </si>
  <si>
    <t>115</t>
  </si>
  <si>
    <t>725980122R00</t>
  </si>
  <si>
    <t>D+M Dvířka bílá,200 x 200 mm revizní u čisticích kusů včetně demontáže původních</t>
  </si>
  <si>
    <t>116</t>
  </si>
  <si>
    <t>725814125R00</t>
  </si>
  <si>
    <t>D+M Ventil pračkový  G  1/2" x 3/4</t>
  </si>
  <si>
    <t>117</t>
  </si>
  <si>
    <t>725810402R00</t>
  </si>
  <si>
    <t>D+M Ventil rohový  G 1/2x3/8</t>
  </si>
  <si>
    <t>118</t>
  </si>
  <si>
    <t>725014161R00</t>
  </si>
  <si>
    <t>D+M Klozet závěsný  včetně sedátka, hl.530 mm</t>
  </si>
  <si>
    <t>119</t>
  </si>
  <si>
    <t>725211701VD1</t>
  </si>
  <si>
    <t>D+M Keramické umyvadlo se zápachovou uzávěrkou ? 32 mm v chromovém provedení, připevněné na stěnu šrouby, bíl</t>
  </si>
  <si>
    <t>120</t>
  </si>
  <si>
    <t>7251110002VD</t>
  </si>
  <si>
    <t>D+MSprchová vanička 900x900  vč. sifonu DN50 a nožiček</t>
  </si>
  <si>
    <t>121</t>
  </si>
  <si>
    <t>725249106R00</t>
  </si>
  <si>
    <t>D+M Stěna sprchová rámová skleněná tl. 6 mm dveře posuvné  na vaničku 900x900 mm</t>
  </si>
  <si>
    <t>122</t>
  </si>
  <si>
    <t>725330913R00</t>
  </si>
  <si>
    <t>D+M Keramická samostatně stojící výlevka se sklopnou plastovou mřížkou 425 mm</t>
  </si>
  <si>
    <t>123</t>
  </si>
  <si>
    <t>725823111RT2</t>
  </si>
  <si>
    <t>D+M Baterie páková umyvadlová stoján. ruční s výpustí</t>
  </si>
  <si>
    <t>124</t>
  </si>
  <si>
    <t>725845811R00A</t>
  </si>
  <si>
    <t>D+M Baterie sprchová nástěnná termostatická chrom, vč. nástěnek a sprchového setu s hlavovou sprchou a ruční sprchou DLE PD</t>
  </si>
  <si>
    <t>125</t>
  </si>
  <si>
    <t>725825111RT2</t>
  </si>
  <si>
    <t>D+M Baterie výlevková nástěnná ruční s prod ramenem</t>
  </si>
  <si>
    <t>126</t>
  </si>
  <si>
    <t>725823114R00</t>
  </si>
  <si>
    <t>D+M Baterie s dlouhým raménkem (jídelna)</t>
  </si>
  <si>
    <t>726</t>
  </si>
  <si>
    <t>Instalační prefabrikáty</t>
  </si>
  <si>
    <t>127</t>
  </si>
  <si>
    <t>726211121R00</t>
  </si>
  <si>
    <t>D+M Montážní prvek pro závěsné WC, stavební výška 108 cm, se splachovací nádržkou pod omítku pro zazdění</t>
  </si>
  <si>
    <t>726_</t>
  </si>
  <si>
    <t>728</t>
  </si>
  <si>
    <t>Vzduchotechnika</t>
  </si>
  <si>
    <t>128</t>
  </si>
  <si>
    <t>728999301VD</t>
  </si>
  <si>
    <t>D+M RekupVZT jednotka s protiproudým rekuperátorem, elekrrickým ohřívačem a přímým výparníkem přívod: 10200 m3/h, 450 Pa; odtah: 10200 m3/h, 500 Pa</t>
  </si>
  <si>
    <t>728_</t>
  </si>
  <si>
    <t>129</t>
  </si>
  <si>
    <t>72812R0C</t>
  </si>
  <si>
    <t>D+M Tlumič hluku 1200x400 - déílka 1000 mm</t>
  </si>
  <si>
    <t>130</t>
  </si>
  <si>
    <t>72812R0CC</t>
  </si>
  <si>
    <t>D+M Tlumič hluku s kulisami 1000x400 - déílka 1000 mm</t>
  </si>
  <si>
    <t>131</t>
  </si>
  <si>
    <t>72818R25VD1</t>
  </si>
  <si>
    <t>D+M Regulační klapka 500x300</t>
  </si>
  <si>
    <t>132</t>
  </si>
  <si>
    <t>72818R25VD2</t>
  </si>
  <si>
    <t>D+M Regulační klapka -160</t>
  </si>
  <si>
    <t>133</t>
  </si>
  <si>
    <t>72818R25VD3</t>
  </si>
  <si>
    <t>D+M Regulační klapka 200</t>
  </si>
  <si>
    <t>134</t>
  </si>
  <si>
    <t>72818R25VD5</t>
  </si>
  <si>
    <t>D+M Regulační klapka -250</t>
  </si>
  <si>
    <t>135</t>
  </si>
  <si>
    <t>D+M Regulační klapka -315</t>
  </si>
  <si>
    <t>136</t>
  </si>
  <si>
    <t>72818R06VD</t>
  </si>
  <si>
    <t>D+M čtverhranné potrubí vč.Spojovacího,těsnícího a montážního mater. (závěsy) (70% tvarovek)</t>
  </si>
  <si>
    <t>137</t>
  </si>
  <si>
    <t>72818R07VD</t>
  </si>
  <si>
    <t>D+M Kruhové potrubí vč.Spojovacího,těsnícího a montážního mater. (závěsy)pr.160</t>
  </si>
  <si>
    <t>138</t>
  </si>
  <si>
    <t>72818R09VD</t>
  </si>
  <si>
    <t>D+M Kruhové potrubí vč.Spojovacího,těsnícího a montážního mater. (závěsy)pr.180</t>
  </si>
  <si>
    <t>139</t>
  </si>
  <si>
    <t>72818R10VD</t>
  </si>
  <si>
    <t>D+M Kruhové potrubí vč.Spojovacího,těsnícího a montážního mater. (závěsy)pr.200</t>
  </si>
  <si>
    <t>140</t>
  </si>
  <si>
    <t>72818R11VD</t>
  </si>
  <si>
    <t>D+M Kruhové potrubí vč.Spojovacího,těsnícího a montážního mater. (závěsy)pr.250</t>
  </si>
  <si>
    <t>141</t>
  </si>
  <si>
    <t>72818R12VD</t>
  </si>
  <si>
    <t>D+M Kruhové potrubí vč.Spojovacího,těsnícího a montážního mater. (závěsy)pr.315</t>
  </si>
  <si>
    <t>142</t>
  </si>
  <si>
    <t>72818R51VD</t>
  </si>
  <si>
    <t>D+M Kruhové potrubí vč.Spojovacího,těsnícího a montážního mater. (závěsy)pr.355</t>
  </si>
  <si>
    <t>143</t>
  </si>
  <si>
    <t>72818R20VD</t>
  </si>
  <si>
    <t>D+M Odvodní mřížka 525x125 s regulací</t>
  </si>
  <si>
    <t>144</t>
  </si>
  <si>
    <t>D+M Přívodníí mřížka 800x300 AD11C</t>
  </si>
  <si>
    <t>145</t>
  </si>
  <si>
    <t>72818R32VD</t>
  </si>
  <si>
    <t>D+M Anemostat přívodu vzduchu - s plenumboxem a pčipojením 250 mm</t>
  </si>
  <si>
    <t>146</t>
  </si>
  <si>
    <t>72818R33VD</t>
  </si>
  <si>
    <t>D+M Kaučuková izolace</t>
  </si>
  <si>
    <t>147</t>
  </si>
  <si>
    <t>728114815R01</t>
  </si>
  <si>
    <t>Talířový ventil přívodní</t>
  </si>
  <si>
    <t>148</t>
  </si>
  <si>
    <t>728114815R02</t>
  </si>
  <si>
    <t>Talířový ventil odtahový</t>
  </si>
  <si>
    <t>149</t>
  </si>
  <si>
    <t>728214501VD</t>
  </si>
  <si>
    <t>Kondenzační jednotka , R410A , typ: 22 kW</t>
  </si>
  <si>
    <t>150</t>
  </si>
  <si>
    <t>728214502VD</t>
  </si>
  <si>
    <t>VZT řídící box-řízení dle přívodní teploty,ahu box</t>
  </si>
  <si>
    <t>151</t>
  </si>
  <si>
    <t>728214503VD</t>
  </si>
  <si>
    <t>PI485  - el.deska pro připojení na MaR, typ: PMNFP14A1</t>
  </si>
  <si>
    <t>152</t>
  </si>
  <si>
    <t>72899201VD</t>
  </si>
  <si>
    <t>Kabelový ovladač Standard, barevný, ČJ, typ: PREMTB100</t>
  </si>
  <si>
    <t>153</t>
  </si>
  <si>
    <t>72868AA4</t>
  </si>
  <si>
    <t>D+M Chladivové potrubí s izolací a komunikačním kabelem včetně montáže 9,52/19,05</t>
  </si>
  <si>
    <t>154</t>
  </si>
  <si>
    <t>72816RRBC</t>
  </si>
  <si>
    <t>D+M Rekuperační jednotka s regulací a el. ohřevem 600 m3/h, 320 Pa vč. regulace - rozložení a složení - zprovoznění</t>
  </si>
  <si>
    <t>155</t>
  </si>
  <si>
    <t>Kruhové potrubí vč.Spojovacího,těsnícího a montážního mater. (závěsy)pr.125</t>
  </si>
  <si>
    <t>156</t>
  </si>
  <si>
    <t>157</t>
  </si>
  <si>
    <t>D+M Kruhové potrubí vč.Spojovacího,těsnícího a montážního mater. (závěsy)pr.200 pr 250</t>
  </si>
  <si>
    <t>158</t>
  </si>
  <si>
    <t>72815R00</t>
  </si>
  <si>
    <t>Kruhové flexib. potrubí s tlumením hluku a parozábranou vč. spojovacího a montážního mater.</t>
  </si>
  <si>
    <t>159</t>
  </si>
  <si>
    <t>728212712R00</t>
  </si>
  <si>
    <t>D+M Fasádní mřížka s ochrannou sítí proti vnikání ptactva a hmyzu 500x500</t>
  </si>
  <si>
    <t>160</t>
  </si>
  <si>
    <t>D+M mřížka s regulací  525x 75</t>
  </si>
  <si>
    <t>161</t>
  </si>
  <si>
    <t>Demontáž stávajících rozvodů VZT včetně  VZT jednotky a digestoře a likvidace celkem cca 1000 kg</t>
  </si>
  <si>
    <t>kg</t>
  </si>
  <si>
    <t>162</t>
  </si>
  <si>
    <t>72818R00</t>
  </si>
  <si>
    <t>Zaregulování vzduchovodů ,hlukové zkoušky</t>
  </si>
  <si>
    <t>163</t>
  </si>
  <si>
    <t>72818R01VD</t>
  </si>
  <si>
    <t>Dopojení digestoří a do stávajícího čtverhranného potrubí</t>
  </si>
  <si>
    <t>164</t>
  </si>
  <si>
    <t>72812RAR</t>
  </si>
  <si>
    <t>Dokumentace skutečného provedení stavby v digitální a papírové podobě</t>
  </si>
  <si>
    <t>165</t>
  </si>
  <si>
    <t>728890813R00</t>
  </si>
  <si>
    <t>stavební přípomoci (bourání, dozdivky, požární uzávěry) čistění stávajícíhopotrubí</t>
  </si>
  <si>
    <t>166</t>
  </si>
  <si>
    <t>728999208VD</t>
  </si>
  <si>
    <t>Uvední so provozu a zaškolení</t>
  </si>
  <si>
    <t>Ústřední vytápění</t>
  </si>
  <si>
    <t>167</t>
  </si>
  <si>
    <t>733111103R00</t>
  </si>
  <si>
    <t>D+M Potrubí závitové bezešvé  do DN 20 včetně nátěru</t>
  </si>
  <si>
    <t>73_</t>
  </si>
  <si>
    <t>_73_</t>
  </si>
  <si>
    <t>168</t>
  </si>
  <si>
    <t>731100852R00</t>
  </si>
  <si>
    <t>Tlaková a topná zkouška 24 hod dle ČSN 06 0310 včetně zaregulování systému a protokolů</t>
  </si>
  <si>
    <t>169</t>
  </si>
  <si>
    <t>733191816R00</t>
  </si>
  <si>
    <t>Vypuštění a napuštění teplovodního systému</t>
  </si>
  <si>
    <t>170</t>
  </si>
  <si>
    <t>733190108R00</t>
  </si>
  <si>
    <t>Tlaková zkouška potrubí</t>
  </si>
  <si>
    <t>171</t>
  </si>
  <si>
    <t>733110810R00</t>
  </si>
  <si>
    <t>Demontáž potrubí ocelového závitového do DN -32</t>
  </si>
  <si>
    <t>172</t>
  </si>
  <si>
    <t>7342216X6</t>
  </si>
  <si>
    <t>D+M Vyregulování topného systému ventilů s termostatickým ovládáním</t>
  </si>
  <si>
    <t>173</t>
  </si>
  <si>
    <t>735111810R00</t>
  </si>
  <si>
    <t>Demontáž těles otopných včetně ventilů a konzol</t>
  </si>
  <si>
    <t>174</t>
  </si>
  <si>
    <t>735157666R00</t>
  </si>
  <si>
    <t>Otopné těleso panelové řada 22, v. 600 mm, dl. 1000 mm včetně ventilů a připojení</t>
  </si>
  <si>
    <t>175</t>
  </si>
  <si>
    <t>735157662R00</t>
  </si>
  <si>
    <t>Otopné těleso panelové  řada 22, v. 600 mm, dl. 600 mm včetně připojení šroubení a ventilů</t>
  </si>
  <si>
    <t>176</t>
  </si>
  <si>
    <t>735157664R00</t>
  </si>
  <si>
    <t>Otopné těleso panelové řada 22, v. 600 mm, dl. 800 mm včetně připojení šroubení a ventilů</t>
  </si>
  <si>
    <t>177</t>
  </si>
  <si>
    <t>7342216X1</t>
  </si>
  <si>
    <t>D+M Termostatická hlavice typu  s vestavěným paroplynovým čidlem, protimrazovou ochranou, rozsah nastavení 5-26°C, se západkovým upevněn</t>
  </si>
  <si>
    <t>178</t>
  </si>
  <si>
    <t>73732 481299VD</t>
  </si>
  <si>
    <t>D+M Indikátor topných nákladů radiobvý odečet v pásmu 433,82MHz, obousměrný radiový systém, elektronická plomba rozměry 28,1x38x92,9mm</t>
  </si>
  <si>
    <t>179</t>
  </si>
  <si>
    <t>733113116R00</t>
  </si>
  <si>
    <t>Příplatek za zhotovení přípojky napojení na stáv potrubí</t>
  </si>
  <si>
    <t>766</t>
  </si>
  <si>
    <t>Konstrukce truhlářské</t>
  </si>
  <si>
    <t>180</t>
  </si>
  <si>
    <t>766416133R00</t>
  </si>
  <si>
    <t>D+M Obložení stěn březovou překližkou tl 6 mm včetně podkladního dřevěného roštu a zakončení</t>
  </si>
  <si>
    <t>766_</t>
  </si>
  <si>
    <t>_76_</t>
  </si>
  <si>
    <t>181</t>
  </si>
  <si>
    <t>766661122R00</t>
  </si>
  <si>
    <t>Montáž dveří do zárubně,otevíravých</t>
  </si>
  <si>
    <t>182</t>
  </si>
  <si>
    <t>766670021R00</t>
  </si>
  <si>
    <t>Montáž kliky a štítku (zámek standard FAB)</t>
  </si>
  <si>
    <t>183</t>
  </si>
  <si>
    <t>766DD03VD</t>
  </si>
  <si>
    <t>Dveře vnitřní plné 800x1970</t>
  </si>
  <si>
    <t>184</t>
  </si>
  <si>
    <t>766DD01VD</t>
  </si>
  <si>
    <t>Dveře vnitřní plné 600x1970</t>
  </si>
  <si>
    <t>185</t>
  </si>
  <si>
    <t>766DD01VD1</t>
  </si>
  <si>
    <t>Dveře vnitřní plné 700x1970</t>
  </si>
  <si>
    <t>186</t>
  </si>
  <si>
    <t>766DD09VD</t>
  </si>
  <si>
    <t>Dveře vnitřní plné 900 /1970</t>
  </si>
  <si>
    <t>187</t>
  </si>
  <si>
    <t>7665491463A</t>
  </si>
  <si>
    <t>Dveřní kování chrom mat</t>
  </si>
  <si>
    <t>M</t>
  </si>
  <si>
    <t>188</t>
  </si>
  <si>
    <t>766999110VD</t>
  </si>
  <si>
    <t>Dveře  protipožární 1750/2200 ocelové prosklené vchod do jídelny s madlem</t>
  </si>
  <si>
    <t>189</t>
  </si>
  <si>
    <t>766999110VD1</t>
  </si>
  <si>
    <t>Dveře  plné hladké 1450/1970</t>
  </si>
  <si>
    <t>190</t>
  </si>
  <si>
    <t>766660122RAB</t>
  </si>
  <si>
    <t>Dveře  800x1970 k ovladaní stroj výt</t>
  </si>
  <si>
    <t>767</t>
  </si>
  <si>
    <t>Konstrukce doplňkové stavební (zámečnické)</t>
  </si>
  <si>
    <t>191</t>
  </si>
  <si>
    <t>767911821R00</t>
  </si>
  <si>
    <t>Demontáž stávajícího oplocení do 2 m</t>
  </si>
  <si>
    <t>767_</t>
  </si>
  <si>
    <t>192</t>
  </si>
  <si>
    <t>767722812R00D</t>
  </si>
  <si>
    <t>Demontáž vratek a ocelového rámu pro zpětnou montáž</t>
  </si>
  <si>
    <t>193</t>
  </si>
  <si>
    <t>767991099102VD</t>
  </si>
  <si>
    <t>Dodávka a montáž hliníkovách rolet s elektro pohonem (oddělení jídelny a chodby od kuch</t>
  </si>
  <si>
    <t>194</t>
  </si>
  <si>
    <t>767999801R00</t>
  </si>
  <si>
    <t>Demontáž stávajících rolet a příslušenství</t>
  </si>
  <si>
    <t>195</t>
  </si>
  <si>
    <t>767991099101VD</t>
  </si>
  <si>
    <t>dodávka a montáž nerezového sloupku  150/150/5</t>
  </si>
  <si>
    <t>196</t>
  </si>
  <si>
    <t>767915130R00S</t>
  </si>
  <si>
    <t>Montáž sloupků oplocení do podezdívky rychle tuhnoucími betony</t>
  </si>
  <si>
    <t>197</t>
  </si>
  <si>
    <t>767920110R00</t>
  </si>
  <si>
    <t>Dodávka a montáž žárově zinkovaných sloupků</t>
  </si>
  <si>
    <t>198</t>
  </si>
  <si>
    <t>767920230R00</t>
  </si>
  <si>
    <t>Montáž demontovaných vrátek oplocení</t>
  </si>
  <si>
    <t>199</t>
  </si>
  <si>
    <t>767995210VD</t>
  </si>
  <si>
    <t>D+M rámového oplocení po posunu vrátek</t>
  </si>
  <si>
    <t>771</t>
  </si>
  <si>
    <t>Podlahy z dlaždic</t>
  </si>
  <si>
    <t>200</t>
  </si>
  <si>
    <t>771101101R00</t>
  </si>
  <si>
    <t>Vysávání podlah prům.vysavačem pro pokládku dlažby</t>
  </si>
  <si>
    <t>771_</t>
  </si>
  <si>
    <t>_77_</t>
  </si>
  <si>
    <t>201</t>
  </si>
  <si>
    <t>771101111R00</t>
  </si>
  <si>
    <t>D+M  Vyrovnání podkladů maltou ze SMS tl. do 10 mm</t>
  </si>
  <si>
    <t>202</t>
  </si>
  <si>
    <t>771101141R00</t>
  </si>
  <si>
    <t>D+M Provedení hydroizol. stěrky pod dlažby jednovrstvé</t>
  </si>
  <si>
    <t>203</t>
  </si>
  <si>
    <t>771101210RT1</t>
  </si>
  <si>
    <t>D+M Penetrace podkladu pod dlažby</t>
  </si>
  <si>
    <t>204</t>
  </si>
  <si>
    <t>771101147R00</t>
  </si>
  <si>
    <t>D+MBandáž koutů - provedení</t>
  </si>
  <si>
    <t>205</t>
  </si>
  <si>
    <t>771111122R00</t>
  </si>
  <si>
    <t>D+M  podlahových lišt přechodových 0,9 m</t>
  </si>
  <si>
    <t>206</t>
  </si>
  <si>
    <t>771570014RAI</t>
  </si>
  <si>
    <t>Pokládka Dlažba z dlaždic keramických 30 x 30 cm včetně soklu</t>
  </si>
  <si>
    <t>207</t>
  </si>
  <si>
    <t>771578011RT2</t>
  </si>
  <si>
    <t>D+M Spára podlaha - stěna, silikonem</t>
  </si>
  <si>
    <t>208</t>
  </si>
  <si>
    <t>771579793RT3</t>
  </si>
  <si>
    <t>Příplatek za spárovací hmotu - plošně,keram.dlažba</t>
  </si>
  <si>
    <t>209</t>
  </si>
  <si>
    <t>59764210</t>
  </si>
  <si>
    <t>Dlažba   300x300x9 mm slinutá protiskluzná  R11 ( R12)</t>
  </si>
  <si>
    <t>210</t>
  </si>
  <si>
    <t>771411016R00</t>
  </si>
  <si>
    <t>D+M  soklíků rovných z obkladaček pórovinových,  výšky 100 mm</t>
  </si>
  <si>
    <t>211</t>
  </si>
  <si>
    <t>771577113R00</t>
  </si>
  <si>
    <t>D+M dilatační podlahová lišta do dlažby</t>
  </si>
  <si>
    <t>776</t>
  </si>
  <si>
    <t>Podlahy povlakové</t>
  </si>
  <si>
    <t>212</t>
  </si>
  <si>
    <t>776511820R00</t>
  </si>
  <si>
    <t>Odstranění PVC a koberců lepených s podložkou</t>
  </si>
  <si>
    <t>776_</t>
  </si>
  <si>
    <t>213</t>
  </si>
  <si>
    <t>776101101R00</t>
  </si>
  <si>
    <t>Vysávání podlahy průmyslovým vysavačem pod povlakové podlahy</t>
  </si>
  <si>
    <t>214</t>
  </si>
  <si>
    <t>776101115R00</t>
  </si>
  <si>
    <t>Vyrovnání podkladů samonivelační hmotou včetně dodávky hmoty</t>
  </si>
  <si>
    <t>215</t>
  </si>
  <si>
    <t>776101121R00</t>
  </si>
  <si>
    <t>Provedení penetrace podkladu pod povlakové podlahové krytiny a samonivelační hmoty</t>
  </si>
  <si>
    <t>216</t>
  </si>
  <si>
    <t>776401800RT1</t>
  </si>
  <si>
    <t>Demontáž soklíků nebo lišt, pryžových nebo z PVC</t>
  </si>
  <si>
    <t>217</t>
  </si>
  <si>
    <t>776210300RU1</t>
  </si>
  <si>
    <t>D+M Lepení hran pryžových na stupně včetně dodávky hran</t>
  </si>
  <si>
    <t>218</t>
  </si>
  <si>
    <t>776220110RU2</t>
  </si>
  <si>
    <t>D+M Lepení povlakové podlahy z PVC na stupnice rovné včetně podlahoviny  tl. 2,0 mm</t>
  </si>
  <si>
    <t>219</t>
  </si>
  <si>
    <t>776220200RU2</t>
  </si>
  <si>
    <t>Lepení povlakové podlahy z PVC na podstupnice včetně podlahoviny  tl. 2,0 mm</t>
  </si>
  <si>
    <t>220</t>
  </si>
  <si>
    <t>776521100RU2</t>
  </si>
  <si>
    <t>Lepení povlakové podlahy z pásů PVC na lepidlo včetně podlahoviny , tl. 2,0 mm</t>
  </si>
  <si>
    <t>221</t>
  </si>
  <si>
    <t>776421100RU1</t>
  </si>
  <si>
    <t>Lepení podlahových soklíků z PVC a vinylu včetně dodávky soklíku</t>
  </si>
  <si>
    <t>222</t>
  </si>
  <si>
    <t>776521200RV2</t>
  </si>
  <si>
    <t>D+M Lepení povlakové podlahy  PVC a CV (vinyl) včetně vinylové podlahoviny tl. 2,5 mm</t>
  </si>
  <si>
    <t>223</t>
  </si>
  <si>
    <t>776522110RT4</t>
  </si>
  <si>
    <t>Lepení povlakové podlahy z pásů PVC Altro, mokrý provoz včetně dodávky podlahoviny tl. 3,0 mm</t>
  </si>
  <si>
    <t>224</t>
  </si>
  <si>
    <t>776422210R00</t>
  </si>
  <si>
    <t>Úprava soklíků Altro ve vnějších i vnitřních rozích včetně úprav u vpustí</t>
  </si>
  <si>
    <t>225</t>
  </si>
  <si>
    <t>776422130R00</t>
  </si>
  <si>
    <t>Napojení krytiny Altro na stěnu čepcovým těsněním C8</t>
  </si>
  <si>
    <t>781</t>
  </si>
  <si>
    <t>Obklady (keramické)</t>
  </si>
  <si>
    <t>226</t>
  </si>
  <si>
    <t>781101111R00</t>
  </si>
  <si>
    <t>Vyrovnání podkladu maltou ze SMS tl. do 7 mm</t>
  </si>
  <si>
    <t>781_</t>
  </si>
  <si>
    <t>_78_</t>
  </si>
  <si>
    <t>227</t>
  </si>
  <si>
    <t>781101210RT1</t>
  </si>
  <si>
    <t>Penetrace podkladu pod obklady</t>
  </si>
  <si>
    <t>228</t>
  </si>
  <si>
    <t>781111116R00</t>
  </si>
  <si>
    <t>Otvor v obkladačce diamant.korunkou prům.do 90 mm</t>
  </si>
  <si>
    <t>229</t>
  </si>
  <si>
    <t>781497111RS2</t>
  </si>
  <si>
    <t>D+M  Lišta hliníková ukončovací nebo rohová  k obkladům</t>
  </si>
  <si>
    <t>230</t>
  </si>
  <si>
    <t>781475116RU1</t>
  </si>
  <si>
    <t>Obklad vnitřní stěn keramický, do tmele do 30x30 cm</t>
  </si>
  <si>
    <t>231</t>
  </si>
  <si>
    <t>781779701R00</t>
  </si>
  <si>
    <t>Přípl.za práci v omez.prostoru</t>
  </si>
  <si>
    <t>232</t>
  </si>
  <si>
    <t>781779705RT2</t>
  </si>
  <si>
    <t>Příplatek za spár.hmotu-plošně</t>
  </si>
  <si>
    <t>233</t>
  </si>
  <si>
    <t>597813667</t>
  </si>
  <si>
    <t>Obkládačka 200*250 standard</t>
  </si>
  <si>
    <t>234</t>
  </si>
  <si>
    <t>781497121RSR</t>
  </si>
  <si>
    <t>Lišta hliníková rohová 40x40 ochrana rohů zdí</t>
  </si>
  <si>
    <t>783</t>
  </si>
  <si>
    <t>Nátěry</t>
  </si>
  <si>
    <t>235</t>
  </si>
  <si>
    <t>783893382R00</t>
  </si>
  <si>
    <t>Nátěr sanační vlhkého zdiva</t>
  </si>
  <si>
    <t>783_</t>
  </si>
  <si>
    <t>236</t>
  </si>
  <si>
    <t>783897131R00</t>
  </si>
  <si>
    <t>Nátěr betonových povrchů vodoodpudivý bezprašný</t>
  </si>
  <si>
    <t>237</t>
  </si>
  <si>
    <t>783201831R00</t>
  </si>
  <si>
    <t>Odstr. nátěrů z kovových konstr. chem.odstraňovači</t>
  </si>
  <si>
    <t>238</t>
  </si>
  <si>
    <t>783222120RT1</t>
  </si>
  <si>
    <t>Nátěr syntetický kov.konstrukcí 2x přímo na rez</t>
  </si>
  <si>
    <t>239</t>
  </si>
  <si>
    <t>783120010RAE</t>
  </si>
  <si>
    <t>Nátěr zárubní</t>
  </si>
  <si>
    <t>240</t>
  </si>
  <si>
    <t>783424340R00</t>
  </si>
  <si>
    <t>D+M Nátěr syntet. trubky do 80 mm  Z+2x +1x email</t>
  </si>
  <si>
    <t>241</t>
  </si>
  <si>
    <t>783401811R00</t>
  </si>
  <si>
    <t>Odstranění a ( obroušení) nátěru z trubky do 80 mm</t>
  </si>
  <si>
    <t>242</t>
  </si>
  <si>
    <t>783324140R00</t>
  </si>
  <si>
    <t>Nátěr syntetický . radiátorů Z +1x + 1x email</t>
  </si>
  <si>
    <t>784</t>
  </si>
  <si>
    <t>Malby</t>
  </si>
  <si>
    <t>243</t>
  </si>
  <si>
    <t>7840001020VD</t>
  </si>
  <si>
    <t>D+M omyvatelný nátěr emailový včetně úpravy podkladu</t>
  </si>
  <si>
    <t>784_</t>
  </si>
  <si>
    <t>244</t>
  </si>
  <si>
    <t>784011121R00</t>
  </si>
  <si>
    <t>D+M Broušení štuků a nových omítek</t>
  </si>
  <si>
    <t>245</t>
  </si>
  <si>
    <t>784011211RT3</t>
  </si>
  <si>
    <t>Olepování vnitřních ploch</t>
  </si>
  <si>
    <t>246</t>
  </si>
  <si>
    <t>784111101R00</t>
  </si>
  <si>
    <t>D+M Penetrace podkladu nátěrem   1 x</t>
  </si>
  <si>
    <t>247</t>
  </si>
  <si>
    <t>784195322R00</t>
  </si>
  <si>
    <t>D+M Malba  bílá, bez penetrace,2 x</t>
  </si>
  <si>
    <t>248</t>
  </si>
  <si>
    <t>784011221RT2</t>
  </si>
  <si>
    <t>Zakrytí předmětů, včetně odstranění</t>
  </si>
  <si>
    <t>249</t>
  </si>
  <si>
    <t>784403803R01</t>
  </si>
  <si>
    <t>D+M Odmaštění maleb omytím</t>
  </si>
  <si>
    <t>794</t>
  </si>
  <si>
    <t>zařízení kuchyní</t>
  </si>
  <si>
    <t>250</t>
  </si>
  <si>
    <t>794112</t>
  </si>
  <si>
    <t>D+M zařízení list 4</t>
  </si>
  <si>
    <t>794_</t>
  </si>
  <si>
    <t>_79_</t>
  </si>
  <si>
    <t>251</t>
  </si>
  <si>
    <t>D+M Celkem monitoring HACCP</t>
  </si>
  <si>
    <t>252</t>
  </si>
  <si>
    <t>D+M Rozpočet inventář celkem</t>
  </si>
  <si>
    <t>795</t>
  </si>
  <si>
    <t>Vybavení ostatní</t>
  </si>
  <si>
    <t>253</t>
  </si>
  <si>
    <t>7951214VD</t>
  </si>
  <si>
    <t>D+M    Stůl jídelní 1400 x 700</t>
  </si>
  <si>
    <t>795_</t>
  </si>
  <si>
    <t>254</t>
  </si>
  <si>
    <t>7951215VD</t>
  </si>
  <si>
    <t>D+M kovová jídelní židle do školních provozů</t>
  </si>
  <si>
    <t>Ostatní konstrukce a práce na trubním vedení</t>
  </si>
  <si>
    <t>255</t>
  </si>
  <si>
    <t>893215121T00</t>
  </si>
  <si>
    <t>D+M  Š1,2  revizní šachta betonová monolitická DN 600/900 mm pro zpětnou klapku s ocelovým poklopem</t>
  </si>
  <si>
    <t>89_</t>
  </si>
  <si>
    <t>_8_</t>
  </si>
  <si>
    <t>256</t>
  </si>
  <si>
    <t>894432112R00</t>
  </si>
  <si>
    <t>D+M Š3 Šachta plastová  DN 600 hl. 1,6 m</t>
  </si>
  <si>
    <t>257</t>
  </si>
  <si>
    <t>899102111RT2</t>
  </si>
  <si>
    <t>D+M Osazení pachotěsného poklopu z pozinkované oceli pro zadláždění o vnitřním rozměru 600/900 mm</t>
  </si>
  <si>
    <t>258</t>
  </si>
  <si>
    <t>895941111R01</t>
  </si>
  <si>
    <t>D+M Zřízení vpusti a oprava betonu (nouzový východ)</t>
  </si>
  <si>
    <t>259</t>
  </si>
  <si>
    <t>899400101VD</t>
  </si>
  <si>
    <t>Oprava šachty 900x600x1300 vyspravení omítek, izolace dna , nátěrů a pod stupadel</t>
  </si>
  <si>
    <t>Lešení a stavební výtahy</t>
  </si>
  <si>
    <t>260</t>
  </si>
  <si>
    <t>941955002R00</t>
  </si>
  <si>
    <t>Lešení lehké pomocné, výška podlahy do 1,9 m</t>
  </si>
  <si>
    <t>94_</t>
  </si>
  <si>
    <t>_9_</t>
  </si>
  <si>
    <t>Různé dokončovací konstrukce a práce na pozemních stavbách</t>
  </si>
  <si>
    <t>261</t>
  </si>
  <si>
    <t>952901111R00</t>
  </si>
  <si>
    <t>Vyčištění budov o výšce podlaží do 4 m</t>
  </si>
  <si>
    <t>95_</t>
  </si>
  <si>
    <t>262</t>
  </si>
  <si>
    <t>952902110R00</t>
  </si>
  <si>
    <t>Zametání v místnostech, chodbách, na  schodišti prúběžné po dobu výstavby denně dle potřebby</t>
  </si>
  <si>
    <t>263</t>
  </si>
  <si>
    <t>900300001RA0b</t>
  </si>
  <si>
    <t>D+M autonomní detekce a  signalizace požáru</t>
  </si>
  <si>
    <t>264</t>
  </si>
  <si>
    <t>95290219R00</t>
  </si>
  <si>
    <t>demontáž stavajícího zařízení s uskladněním a zpětná montáž (15+15+10)ks nábytku</t>
  </si>
  <si>
    <t>265</t>
  </si>
  <si>
    <t>demontáž stavajícího zařízení a likvidace včetně poplatku za ekolog likvidaci</t>
  </si>
  <si>
    <t>266</t>
  </si>
  <si>
    <t>demontáž stavajícího zařízení jídelny a likvidace včetně poplatku za ekolog likvidaci</t>
  </si>
  <si>
    <t>267</t>
  </si>
  <si>
    <t>959999220VD</t>
  </si>
  <si>
    <t>system generálního klíče nové vložky a klíče</t>
  </si>
  <si>
    <t>959</t>
  </si>
  <si>
    <t>ostatní</t>
  </si>
  <si>
    <t>268</t>
  </si>
  <si>
    <t>959900501VD</t>
  </si>
  <si>
    <t>Oprava výtahové šachty .očištění,zapravení po demontážích,otlučení nesoudr omítky, omítka lešení malba</t>
  </si>
  <si>
    <t>959_</t>
  </si>
  <si>
    <t>Bourání konstrukcí</t>
  </si>
  <si>
    <t>269</t>
  </si>
  <si>
    <t>962031116R00</t>
  </si>
  <si>
    <t>Bourání příček z cihel pálených plných tl. 140 mm</t>
  </si>
  <si>
    <t>96_</t>
  </si>
  <si>
    <t>270</t>
  </si>
  <si>
    <t>962052211R00</t>
  </si>
  <si>
    <t>Bourání zdiva železobetonového nadzákladového s vyříznutím otvoru</t>
  </si>
  <si>
    <t>271</t>
  </si>
  <si>
    <t>978013191R00</t>
  </si>
  <si>
    <t>Otlučení omítek vnitřních stěn v rozsahu do 100 %</t>
  </si>
  <si>
    <t>272</t>
  </si>
  <si>
    <t>961055111R00</t>
  </si>
  <si>
    <t>Bourání konstrukcí soklú železobetonových</t>
  </si>
  <si>
    <t>273</t>
  </si>
  <si>
    <t>963016113R00</t>
  </si>
  <si>
    <t>Demontáž podhledu SDK, kovová kce.,</t>
  </si>
  <si>
    <t>274</t>
  </si>
  <si>
    <t>969999301VD</t>
  </si>
  <si>
    <t>Vybourání chladících boxů včetně dveří a technologie</t>
  </si>
  <si>
    <t>275</t>
  </si>
  <si>
    <t>965048250R00</t>
  </si>
  <si>
    <t>Dočištění povrchu po vybourání</t>
  </si>
  <si>
    <t>276</t>
  </si>
  <si>
    <t>965041331RT12</t>
  </si>
  <si>
    <t>Bourání  mazanin ručně, tl. mazaniny 5 - 8 cm</t>
  </si>
  <si>
    <t>277</t>
  </si>
  <si>
    <t>968061136R00</t>
  </si>
  <si>
    <t>Vyvěšení dřevěných a plastových křídel dveří</t>
  </si>
  <si>
    <t>278</t>
  </si>
  <si>
    <t>970031130R00</t>
  </si>
  <si>
    <t>Vrtání jádrové  do D 160 mm</t>
  </si>
  <si>
    <t>279</t>
  </si>
  <si>
    <t>965081712R00</t>
  </si>
  <si>
    <t>Bourání dlažeb keramických tl.10 mm,</t>
  </si>
  <si>
    <t>280</t>
  </si>
  <si>
    <t>978059521R00</t>
  </si>
  <si>
    <t>Odsekání vnitřních obkladů stěn</t>
  </si>
  <si>
    <t>281</t>
  </si>
  <si>
    <t>969999302VD</t>
  </si>
  <si>
    <t>Demontáž a likvidace agregátů chlazení</t>
  </si>
  <si>
    <t>282</t>
  </si>
  <si>
    <t>968072455R00</t>
  </si>
  <si>
    <t>Vybourání kovových dveřních zárubní</t>
  </si>
  <si>
    <t>283</t>
  </si>
  <si>
    <t>962036125R00</t>
  </si>
  <si>
    <t>Demontáž SDK příčky,  kov.kce. opláštěné 12,5 mm</t>
  </si>
  <si>
    <t>284</t>
  </si>
  <si>
    <t>962090512R00Z</t>
  </si>
  <si>
    <t>Demontáž žaluzií výdejních oken</t>
  </si>
  <si>
    <t>285</t>
  </si>
  <si>
    <t>962036125R00ZV</t>
  </si>
  <si>
    <t>Demontáž  výdejních oken (plast hliník)</t>
  </si>
  <si>
    <t>286</t>
  </si>
  <si>
    <t>966077151R0D</t>
  </si>
  <si>
    <t>Demontáž dveří  ocel rám drátosklo výpln nadsvětlík včetně zárubně (rámu) 1750/2100+900</t>
  </si>
  <si>
    <t>H99</t>
  </si>
  <si>
    <t>Ostatní přesuny hmot</t>
  </si>
  <si>
    <t>287</t>
  </si>
  <si>
    <t>999281148R00</t>
  </si>
  <si>
    <t>Přesun hmot pro opravy a údržbu do v. 12 m,nošením</t>
  </si>
  <si>
    <t>H99_</t>
  </si>
  <si>
    <t>M21</t>
  </si>
  <si>
    <t>Elektromontáže</t>
  </si>
  <si>
    <t>288</t>
  </si>
  <si>
    <t>210999501VD</t>
  </si>
  <si>
    <t>Svítidlo LED panelové, 37W, IP20, 4000lm, 4000K, Ra80, matná Al mřížka, ozn. A</t>
  </si>
  <si>
    <t>M21_</t>
  </si>
  <si>
    <t>289</t>
  </si>
  <si>
    <t>210999502VD</t>
  </si>
  <si>
    <t>Svítidlo LED přisazené,opálový kryt, 20W, IP54, 2800lm, 4000K, ra80, ozn. B</t>
  </si>
  <si>
    <t>290</t>
  </si>
  <si>
    <t>210999503VD</t>
  </si>
  <si>
    <t>Svítidlo LED přisazené,opálový kryt, 25W, IP54, 3800lm, 4000K, Ra80, ozn. C</t>
  </si>
  <si>
    <t>291</t>
  </si>
  <si>
    <t>210999504VD</t>
  </si>
  <si>
    <t>Svítidlo LED přisazené,opálový kryt, 36W, IP54, 5400lm, 4000K, ra80, ozn. D</t>
  </si>
  <si>
    <t>292</t>
  </si>
  <si>
    <t>210999505VD</t>
  </si>
  <si>
    <t>Svítidlo LED prochotěsné, opálový kryt, 50W, IP65, 7200lm, 4000K, Ra80, ozn. E</t>
  </si>
  <si>
    <t>293</t>
  </si>
  <si>
    <t>210999506VD</t>
  </si>
  <si>
    <t>Svítidlo LED přisazené/nástěnné, 21W, IP54, ozn. F</t>
  </si>
  <si>
    <t>294</t>
  </si>
  <si>
    <t>210999507VD</t>
  </si>
  <si>
    <t>Svítidlo LED nástěnné, 15W, IP40, ozn. G</t>
  </si>
  <si>
    <t>295</t>
  </si>
  <si>
    <t>210999508VD</t>
  </si>
  <si>
    <t>Svítidlo LED nouzové 1W, IP65, s praporkem a akubaterií, 50lm, Ra80, ozn. N1</t>
  </si>
  <si>
    <t>296</t>
  </si>
  <si>
    <t>210999509VD</t>
  </si>
  <si>
    <t>Svítidlo LED nouzové 3W, IP65, univerzální optika, s akubaterií, 350lm, Ra80, ozn. N2</t>
  </si>
  <si>
    <t>297</t>
  </si>
  <si>
    <t>210999510VD</t>
  </si>
  <si>
    <t>Svítidlo LED nouzové 3W, svítidlo EXIT, s akubaterií, IP65, 320lm, Ra80, ozn. N3</t>
  </si>
  <si>
    <t>298</t>
  </si>
  <si>
    <t>210999511VD</t>
  </si>
  <si>
    <t>Svítidlo LED nouzové 1W, svítidlo EXIT, s akubaterií, IP65, 125lm, Ra80, ozn. N4</t>
  </si>
  <si>
    <t>299</t>
  </si>
  <si>
    <t>21005RT1</t>
  </si>
  <si>
    <t>D+M Vypínač jednopólový, 230V, 10A</t>
  </si>
  <si>
    <t>300</t>
  </si>
  <si>
    <t>21006RT2</t>
  </si>
  <si>
    <t>D+M Přepínač seriová, 230V, 10A</t>
  </si>
  <si>
    <t>301</t>
  </si>
  <si>
    <t>2103336VD</t>
  </si>
  <si>
    <t>Tlačítkový ovladač, 230V, 10A</t>
  </si>
  <si>
    <t>302</t>
  </si>
  <si>
    <t>210035R00</t>
  </si>
  <si>
    <t>servisní vypínač nástěnný 25A 400V</t>
  </si>
  <si>
    <t>303</t>
  </si>
  <si>
    <t>210035R001</t>
  </si>
  <si>
    <t>servisní vypínač nástěnný 63A 400V</t>
  </si>
  <si>
    <t>304</t>
  </si>
  <si>
    <t>210035R002</t>
  </si>
  <si>
    <t>servisní vypínač nástěnný 100A 400V</t>
  </si>
  <si>
    <t>305</t>
  </si>
  <si>
    <t>2121712R00</t>
  </si>
  <si>
    <t>STOP tlačítko s hřibovitou hlavicí, 230V, 10A</t>
  </si>
  <si>
    <t>306</t>
  </si>
  <si>
    <t>2100102R03</t>
  </si>
  <si>
    <t>dvojtlačítkový ovladač  230 V, 10A</t>
  </si>
  <si>
    <t>307</t>
  </si>
  <si>
    <t>21008RT1</t>
  </si>
  <si>
    <t>D+M Zásuvka domovní , 230V, 16A</t>
  </si>
  <si>
    <t>308</t>
  </si>
  <si>
    <t>210034R00</t>
  </si>
  <si>
    <t>D+M zasuvka třífázová 400V 16A</t>
  </si>
  <si>
    <t>309</t>
  </si>
  <si>
    <t>210010RT2</t>
  </si>
  <si>
    <t>D+M Krabice přístrojová</t>
  </si>
  <si>
    <t>310</t>
  </si>
  <si>
    <t>210011R00</t>
  </si>
  <si>
    <t>D+M Krabicová rozvodka</t>
  </si>
  <si>
    <t>311</t>
  </si>
  <si>
    <t>210020307R00</t>
  </si>
  <si>
    <t>Skříň hlavního pospojování HOP</t>
  </si>
  <si>
    <t>312</t>
  </si>
  <si>
    <t>210999520VD</t>
  </si>
  <si>
    <t>Kabel CYKY 4B x 120</t>
  </si>
  <si>
    <t>313</t>
  </si>
  <si>
    <t>210999521VD</t>
  </si>
  <si>
    <t>kabel pro hřiště  CYKY 4B x 16</t>
  </si>
  <si>
    <t>314</t>
  </si>
  <si>
    <t>210999522VD</t>
  </si>
  <si>
    <t>Kabel CYKY 5C x 25</t>
  </si>
  <si>
    <t>315</t>
  </si>
  <si>
    <t>210999523VD</t>
  </si>
  <si>
    <t>Kabel CYKY 5C x 16</t>
  </si>
  <si>
    <t>316</t>
  </si>
  <si>
    <t>210999524VD</t>
  </si>
  <si>
    <t>Kabel CYKY 5C x 10</t>
  </si>
  <si>
    <t>317</t>
  </si>
  <si>
    <t>210013R002VD</t>
  </si>
  <si>
    <t>D+M Kabel  CYKY 5C x 6</t>
  </si>
  <si>
    <t>318</t>
  </si>
  <si>
    <t>210013R003VD</t>
  </si>
  <si>
    <t>D+M Kabel  CYKY 5C x 4</t>
  </si>
  <si>
    <t>319</t>
  </si>
  <si>
    <t>210019RT1</t>
  </si>
  <si>
    <t>D+M kabel CYKY 5C x1,5</t>
  </si>
  <si>
    <t>320</t>
  </si>
  <si>
    <t>210013R00</t>
  </si>
  <si>
    <t>D+M Kabel  CYKY 5Cx2,5</t>
  </si>
  <si>
    <t>321</t>
  </si>
  <si>
    <t>210014RT1</t>
  </si>
  <si>
    <t>D+M Kabel CYKY 3C x 2,5</t>
  </si>
  <si>
    <t>322</t>
  </si>
  <si>
    <t>210015R00</t>
  </si>
  <si>
    <t>D+M Kabel CYKY 3 C x 1,5</t>
  </si>
  <si>
    <t>323</t>
  </si>
  <si>
    <t>210800110RT1</t>
  </si>
  <si>
    <t>Kabel CYKY 7Cx1,5</t>
  </si>
  <si>
    <t>324</t>
  </si>
  <si>
    <t>210017RAABVD</t>
  </si>
  <si>
    <t>Pospojovací vodič CY 10 a CY 16</t>
  </si>
  <si>
    <t>325</t>
  </si>
  <si>
    <t>210017RAAVD</t>
  </si>
  <si>
    <t>Pospojovací vodič CY6</t>
  </si>
  <si>
    <t>326</t>
  </si>
  <si>
    <t>210800137RT2VD</t>
  </si>
  <si>
    <t>Kabel JYSTY 2 x 2 x 0,8</t>
  </si>
  <si>
    <t>327</t>
  </si>
  <si>
    <t>210016RT1</t>
  </si>
  <si>
    <t>D+M Kabel CYKY 2A x 1,5</t>
  </si>
  <si>
    <t>328</t>
  </si>
  <si>
    <t>210020309R00</t>
  </si>
  <si>
    <t>Žlab kabelový s přísluš.,250/100</t>
  </si>
  <si>
    <t>329</t>
  </si>
  <si>
    <t>Žlab kabelový s přísluš.,150/100</t>
  </si>
  <si>
    <t>330</t>
  </si>
  <si>
    <t>210100060R00</t>
  </si>
  <si>
    <t>Ukončení vodičů</t>
  </si>
  <si>
    <t>331</t>
  </si>
  <si>
    <t>2100119VD1</t>
  </si>
  <si>
    <t>Pryžové kabel H07RN-F pro připojení el. spotřebičů 5C x 2,5 (cca 150 m)</t>
  </si>
  <si>
    <t>332</t>
  </si>
  <si>
    <t>210021RT1</t>
  </si>
  <si>
    <t>Pomocný, montážní a označovací materiál</t>
  </si>
  <si>
    <t>333</t>
  </si>
  <si>
    <t>21000102VD</t>
  </si>
  <si>
    <t>Doplnění hlavního rozvaděče školy - jistič 400B/3, 400A</t>
  </si>
  <si>
    <t>334</t>
  </si>
  <si>
    <t>21000102VDA</t>
  </si>
  <si>
    <t>Doplnění hlavního rozvaděče školy - jistič 63B/3, 63A pro budoucí hřiště</t>
  </si>
  <si>
    <t>335</t>
  </si>
  <si>
    <t>210027RTA</t>
  </si>
  <si>
    <t>D+M Rozvaděč kuchyně RK1</t>
  </si>
  <si>
    <t>336</t>
  </si>
  <si>
    <t>210000902VD</t>
  </si>
  <si>
    <t>Podružný rozvaděč kuchyně RK2</t>
  </si>
  <si>
    <t>337</t>
  </si>
  <si>
    <t>210024R00</t>
  </si>
  <si>
    <t>Dokumentace skutečného provedení</t>
  </si>
  <si>
    <t>338</t>
  </si>
  <si>
    <t>210025RT1</t>
  </si>
  <si>
    <t>Revize a zkoušky elektro</t>
  </si>
  <si>
    <t>339</t>
  </si>
  <si>
    <t>210022R00</t>
  </si>
  <si>
    <t>Demontáže stávajících elektroinstalací</t>
  </si>
  <si>
    <t>M22</t>
  </si>
  <si>
    <t>Montáže sdělovací a zabezpečovací techniky</t>
  </si>
  <si>
    <t>340</t>
  </si>
  <si>
    <t>220099300VD</t>
  </si>
  <si>
    <t>Datový rozvaděč 9U, včetně příslušenství (vyvazovací panel, apod.)</t>
  </si>
  <si>
    <t>M22_</t>
  </si>
  <si>
    <t>341</t>
  </si>
  <si>
    <t>222299001R03</t>
  </si>
  <si>
    <t>Patchpanel 24 pozic</t>
  </si>
  <si>
    <t>342</t>
  </si>
  <si>
    <t>229880201VD</t>
  </si>
  <si>
    <t>Keystone RJ45 cat. 5e</t>
  </si>
  <si>
    <t>343</t>
  </si>
  <si>
    <t>229880203VD</t>
  </si>
  <si>
    <t>Kabel FTP 4x2x0,5 cat. 5e</t>
  </si>
  <si>
    <t>344</t>
  </si>
  <si>
    <t>229830012R00</t>
  </si>
  <si>
    <t>Značení datových tras</t>
  </si>
  <si>
    <t>345</t>
  </si>
  <si>
    <t>220990060R03</t>
  </si>
  <si>
    <t>Instalační lišta plastová 40x40, bílá</t>
  </si>
  <si>
    <t>346</t>
  </si>
  <si>
    <t>220990025R03</t>
  </si>
  <si>
    <t>Chránička v podlaze</t>
  </si>
  <si>
    <t>347</t>
  </si>
  <si>
    <t>220099407VD</t>
  </si>
  <si>
    <t>Drážkování</t>
  </si>
  <si>
    <t>348</t>
  </si>
  <si>
    <t>2209900411VD</t>
  </si>
  <si>
    <t>D+M Datová zásuvka (jednoportová) s instalací na povrch (komplet)</t>
  </si>
  <si>
    <t>349</t>
  </si>
  <si>
    <t>2200990020VD</t>
  </si>
  <si>
    <t>Patch kabel 0,25, RJ45/RJ45 cat. 5e</t>
  </si>
  <si>
    <t>350</t>
  </si>
  <si>
    <t>222300017R03</t>
  </si>
  <si>
    <t>Switch 24p, 2xSFP (konfigurovatelný)</t>
  </si>
  <si>
    <t>351</t>
  </si>
  <si>
    <t>222411001R00</t>
  </si>
  <si>
    <t>D+M Záložní zdroj UPS 60 min</t>
  </si>
  <si>
    <t>352</t>
  </si>
  <si>
    <t>222290301R00</t>
  </si>
  <si>
    <t>Značení portů RJ45 (obě strany)</t>
  </si>
  <si>
    <t>353</t>
  </si>
  <si>
    <t>22900101VD</t>
  </si>
  <si>
    <t>Instalační materiál (hmoždinky, upevňovací materiál apod.)</t>
  </si>
  <si>
    <t>354</t>
  </si>
  <si>
    <t>220301022R00</t>
  </si>
  <si>
    <t>Napájecí lišta - PDU s instalací do racku</t>
  </si>
  <si>
    <t>355</t>
  </si>
  <si>
    <t>220990011VD</t>
  </si>
  <si>
    <t>SFP Modul</t>
  </si>
  <si>
    <t>356</t>
  </si>
  <si>
    <t>220990035R03</t>
  </si>
  <si>
    <t>vystavení meřícího protokolu měření kabelu</t>
  </si>
  <si>
    <t>357</t>
  </si>
  <si>
    <t>22217811VD</t>
  </si>
  <si>
    <t>Dokumentace skutečného stavu</t>
  </si>
  <si>
    <t>358</t>
  </si>
  <si>
    <t>22217780VD</t>
  </si>
  <si>
    <t>oživení, nastavení, výchozí revize</t>
  </si>
  <si>
    <t>359</t>
  </si>
  <si>
    <t>2221711R00</t>
  </si>
  <si>
    <t>Nucená konfigurace sítě správcovskou firmnou</t>
  </si>
  <si>
    <t>M33</t>
  </si>
  <si>
    <t>Montáže dopravních zařízení a vah</t>
  </si>
  <si>
    <t>360</t>
  </si>
  <si>
    <t>330030100RABD</t>
  </si>
  <si>
    <t>Demontáž výtahu a všech příslušenství strojovny a dveří včetně ekologické likvidace V2</t>
  </si>
  <si>
    <t>M33_</t>
  </si>
  <si>
    <t>361</t>
  </si>
  <si>
    <t>330030110RAB</t>
  </si>
  <si>
    <t>D+M Výtah nákladní nerez  dle PD</t>
  </si>
  <si>
    <t>362</t>
  </si>
  <si>
    <t>3300301120VD</t>
  </si>
  <si>
    <t>D+M stavební práce úpravy výtahových šachet</t>
  </si>
  <si>
    <t>363</t>
  </si>
  <si>
    <t>330030110RABE</t>
  </si>
  <si>
    <t>D+M Výtah nákladní nerez  500 kg dle PD</t>
  </si>
  <si>
    <t>364</t>
  </si>
  <si>
    <t>Demontáž výtahu a všech příslušenství strojovny a dveří včetně ekologické likvidace V1</t>
  </si>
  <si>
    <t>365</t>
  </si>
  <si>
    <t>Bourání konstrukcí soklú železobetonových   V2</t>
  </si>
  <si>
    <t>366</t>
  </si>
  <si>
    <t>Vykopávka v uzavřených prostorách v hor.1-4  šachta V</t>
  </si>
  <si>
    <t>367</t>
  </si>
  <si>
    <t>279232511R00</t>
  </si>
  <si>
    <t>D+M ostupná podezdívka základového zdiva cihlami betonovými</t>
  </si>
  <si>
    <t>368</t>
  </si>
  <si>
    <t>271313511R00</t>
  </si>
  <si>
    <t>D+M Beton podkladní pod základové konstrukce,   prohloubení V2</t>
  </si>
  <si>
    <t>369</t>
  </si>
  <si>
    <t>271571111R00</t>
  </si>
  <si>
    <t>D+M Polštář základu ze štěrkopísku tříděného prohloubení v2</t>
  </si>
  <si>
    <t>370</t>
  </si>
  <si>
    <t>273366021R00</t>
  </si>
  <si>
    <t>D+M Výztuž základových desek ze svařovaných sití KARI prohloubení v2</t>
  </si>
  <si>
    <t>M65</t>
  </si>
  <si>
    <t>Optimalizace spotřeb energií</t>
  </si>
  <si>
    <t>371</t>
  </si>
  <si>
    <t>650999101VD</t>
  </si>
  <si>
    <t>D+M Inteligentní systém řízení energie - centrální jednotka  6000 (kodZE6000)</t>
  </si>
  <si>
    <t>M65_</t>
  </si>
  <si>
    <t>372</t>
  </si>
  <si>
    <t>650999102VD</t>
  </si>
  <si>
    <t>D+M BUS modul pro dva elektrotermické obvody (sleduje stav spotřebiče + spínání pomocí kontaktu relé) 230V (kod EAM-N)</t>
  </si>
  <si>
    <t>373</t>
  </si>
  <si>
    <t>650999103VD</t>
  </si>
  <si>
    <t>D+M Napájecí zdroj sběrnice  (kod SVEBUS)</t>
  </si>
  <si>
    <t>374</t>
  </si>
  <si>
    <t>650999104VD</t>
  </si>
  <si>
    <t>D+M LON modul pro omezení výkonu, alarm/chyba, větrání ( kod GW- ASL)</t>
  </si>
  <si>
    <t>375</t>
  </si>
  <si>
    <t>650999105VD</t>
  </si>
  <si>
    <t>D+M Rozvaděč VxŠxH, cca 1200x600x300 mm, plně osazen moduly vč. poz. 1 až 4, kabely napojeny do modulů, přívod vedení se shora, vč. dokumentace a přep</t>
  </si>
  <si>
    <t>376</t>
  </si>
  <si>
    <t>650999106VD</t>
  </si>
  <si>
    <t>D+M Proudový transformátor IPA40 ..?A/5A ( kod SWA )</t>
  </si>
  <si>
    <t>377</t>
  </si>
  <si>
    <t>650999107VD</t>
  </si>
  <si>
    <t>D+M Aktivní měřicí převodník výkonu pro třífázové napájení (kod MUGMCLON)</t>
  </si>
  <si>
    <t>378</t>
  </si>
  <si>
    <t>650999108VD</t>
  </si>
  <si>
    <t>Software pro dálkové ovládání</t>
  </si>
  <si>
    <t>379</t>
  </si>
  <si>
    <t>650999109VD</t>
  </si>
  <si>
    <t>Uvedení do provozu včetně nákladů spojených s instalacemi modulů a nastavením systému včetně zapojení ve spotřebičích</t>
  </si>
  <si>
    <t>380</t>
  </si>
  <si>
    <t>650999110VD</t>
  </si>
  <si>
    <t>Zaškolení zaměstnanců</t>
  </si>
  <si>
    <t>381</t>
  </si>
  <si>
    <t>650999111VD</t>
  </si>
  <si>
    <t>zapojení ve spotřebičích</t>
  </si>
  <si>
    <t>M650VD</t>
  </si>
  <si>
    <t>kabely HACCP</t>
  </si>
  <si>
    <t>382</t>
  </si>
  <si>
    <t>65012201VD</t>
  </si>
  <si>
    <t>FTP kabel stíněný min. cat5e, B2ca,d1,s1</t>
  </si>
  <si>
    <t>M650VD_</t>
  </si>
  <si>
    <t>383</t>
  </si>
  <si>
    <t>65012202VD</t>
  </si>
  <si>
    <t>Ohebná spirálová trubka z pozinkované oceli opláštěná samozhášivým PVC pro instalace IP55</t>
  </si>
  <si>
    <t>384</t>
  </si>
  <si>
    <t>65012203VD</t>
  </si>
  <si>
    <t>Vývodka pro šroubovicovou trubku - ochrana vývodu kabelu proti proříznutí.</t>
  </si>
  <si>
    <t>385</t>
  </si>
  <si>
    <t>65012204VD</t>
  </si>
  <si>
    <t>Nerezová příruba průchozí  pro trubku do průměru 42,4mm s 3 dírami pro připevnění do podlahy  Výška minimálně 50mm</t>
  </si>
  <si>
    <t>386</t>
  </si>
  <si>
    <t>65012205VD</t>
  </si>
  <si>
    <t>Korugovaná trubka EN 20 bezhalogenová, pevnost 750N/ 5cm - instalace do zdi</t>
  </si>
  <si>
    <t>387</t>
  </si>
  <si>
    <t>65012206VD</t>
  </si>
  <si>
    <t>Lišta LHD 20x20 HF vkládací, bezhalogenová, bílá</t>
  </si>
  <si>
    <t>388</t>
  </si>
  <si>
    <t>65012207VD</t>
  </si>
  <si>
    <t>Přístrojová instalační krabice do zdi, rozteč děr 71mm včetně zasekání A víčko</t>
  </si>
  <si>
    <t>389</t>
  </si>
  <si>
    <t>65012208VD</t>
  </si>
  <si>
    <t>Průvrt železobetonovým stropem 80mm.</t>
  </si>
  <si>
    <t>390</t>
  </si>
  <si>
    <t>65012209VD</t>
  </si>
  <si>
    <t>Požární ucpávky průchod stropem do průměru 80mm, svazek kabelů do průměru 30mm, Podhled - podlaha tzn. Jednostranný přístup pro revize.</t>
  </si>
  <si>
    <t>391</t>
  </si>
  <si>
    <t>65012210VD</t>
  </si>
  <si>
    <t>Instalační materiál (instalační krabice, chránička, faston konektory apod.)</t>
  </si>
  <si>
    <t>392</t>
  </si>
  <si>
    <t>65012211VD</t>
  </si>
  <si>
    <t>Drážkování na trubku 20, zapravení</t>
  </si>
  <si>
    <t>393</t>
  </si>
  <si>
    <t>65012212VD</t>
  </si>
  <si>
    <t>Ostatní montážní práce na kabeláži jinde neuvedené a revize</t>
  </si>
  <si>
    <t>S</t>
  </si>
  <si>
    <t>Přesuny sutí</t>
  </si>
  <si>
    <t>394</t>
  </si>
  <si>
    <t>979082111R00</t>
  </si>
  <si>
    <t>Vnitrostaveništní doprava suti do 10 m</t>
  </si>
  <si>
    <t>S_</t>
  </si>
  <si>
    <t>395</t>
  </si>
  <si>
    <t>979082121R00</t>
  </si>
  <si>
    <t>Příplatek k vnitrost. dopravě suti za dalších 5 m</t>
  </si>
  <si>
    <t>396</t>
  </si>
  <si>
    <t>979094211R00</t>
  </si>
  <si>
    <t>Nakládání nebo překládání vybourané suti</t>
  </si>
  <si>
    <t>397</t>
  </si>
  <si>
    <t>979083117R00</t>
  </si>
  <si>
    <t>Vodorovné přemístění suti na skládku do 6000 m</t>
  </si>
  <si>
    <t>398</t>
  </si>
  <si>
    <t>979083191R00</t>
  </si>
  <si>
    <t>Příplatek za dalších započatých 1000 m nad 6000 m</t>
  </si>
  <si>
    <t>399</t>
  </si>
  <si>
    <t>979011221R00</t>
  </si>
  <si>
    <t>Svislá doprava suti a vybour. hmot za 1.PP nošením</t>
  </si>
  <si>
    <t>400</t>
  </si>
  <si>
    <t>979990101R00</t>
  </si>
  <si>
    <t>Poplatek za uložení směsi betonu a cihel skupina 170101 a 170102</t>
  </si>
  <si>
    <t>401</t>
  </si>
  <si>
    <t>979990110R00</t>
  </si>
  <si>
    <t>Poplatek za uložení suti - sádrokartonové desky, skupina odpadu 170802</t>
  </si>
  <si>
    <t>402</t>
  </si>
  <si>
    <t>979990107R00</t>
  </si>
  <si>
    <t>Poplatek za uložení suti - směs betonu, cihel, dřeva, skupina odpadu 170904</t>
  </si>
  <si>
    <t>403</t>
  </si>
  <si>
    <t>979990111R00</t>
  </si>
  <si>
    <t>Poplatek za uložení suti - stavební keramika, skupina odpadu 170103</t>
  </si>
  <si>
    <t>404</t>
  </si>
  <si>
    <t>979990112R00</t>
  </si>
  <si>
    <t>Poplatek za uložení suti - obal. kamenivo, asfalt, skupina odpadu 170302</t>
  </si>
  <si>
    <t>405</t>
  </si>
  <si>
    <t>979990162R00</t>
  </si>
  <si>
    <t>Poplatek za uložení suti - dřevo+sklo, skupina odpadu 170904</t>
  </si>
  <si>
    <t>406</t>
  </si>
  <si>
    <t>979990181R00</t>
  </si>
  <si>
    <t>Poplatek za uložení suti - PVC podlahová krytina, skupina odpadu 200307</t>
  </si>
  <si>
    <t>Výkaz výměr</t>
  </si>
  <si>
    <t>Objekt</t>
  </si>
  <si>
    <t>Potřebné množství</t>
  </si>
  <si>
    <t>1,8*10</t>
  </si>
  <si>
    <t>3,*</t>
  </si>
  <si>
    <t>tuje</t>
  </si>
  <si>
    <t>9*1,6</t>
  </si>
  <si>
    <t>2*9</t>
  </si>
  <si>
    <t>0,8*1,6*13</t>
  </si>
  <si>
    <t>rýha</t>
  </si>
  <si>
    <t>3,6*2,8*2,4</t>
  </si>
  <si>
    <t>lapol</t>
  </si>
  <si>
    <t>3*2*0,25</t>
  </si>
  <si>
    <t>16,4*0,5</t>
  </si>
  <si>
    <t>16,4</t>
  </si>
  <si>
    <t>18,38</t>
  </si>
  <si>
    <t>48*0,6*1,2</t>
  </si>
  <si>
    <t>vnitřní kanalizace</t>
  </si>
  <si>
    <t>1,8*10*0,43</t>
  </si>
  <si>
    <t>0,6*0,6*0,9*2</t>
  </si>
  <si>
    <t>základ nových sloupků</t>
  </si>
  <si>
    <t>13*1,8</t>
  </si>
  <si>
    <t>23,4</t>
  </si>
  <si>
    <t>51,1</t>
  </si>
  <si>
    <t>25*51,1</t>
  </si>
  <si>
    <t>51,1*1,4</t>
  </si>
  <si>
    <t>48*0,3*0,6</t>
  </si>
  <si>
    <t>13*0,3*0,6</t>
  </si>
  <si>
    <t>48*0,8*0,6</t>
  </si>
  <si>
    <t>13*1,3*0,6</t>
  </si>
  <si>
    <t>2,6*1,8*0,25+0,33</t>
  </si>
  <si>
    <t>základ pod lapol</t>
  </si>
  <si>
    <t>(1,4+1,4+2+1+2,4+0,85)*3,3</t>
  </si>
  <si>
    <t>1.PP</t>
  </si>
  <si>
    <t>-4,2</t>
  </si>
  <si>
    <t>(1,83+1,7+0,95)*3,3-2,8</t>
  </si>
  <si>
    <t>2,2*3,3-1,6</t>
  </si>
  <si>
    <t>2,25*3,3</t>
  </si>
  <si>
    <t>1:PP</t>
  </si>
  <si>
    <t>(1,2+0,75+1,2+2,2+0,8+1,8)*3,25</t>
  </si>
  <si>
    <t>1,np</t>
  </si>
  <si>
    <t>1,35+0,8</t>
  </si>
  <si>
    <t>(1,95+2,2+3,3+3,3)*1</t>
  </si>
  <si>
    <t>0,25</t>
  </si>
  <si>
    <t>11*3*0,001</t>
  </si>
  <si>
    <t>1,8*1,2*2</t>
  </si>
  <si>
    <t>10*1,6</t>
  </si>
  <si>
    <t>10*1,8</t>
  </si>
  <si>
    <t>1,6*10</t>
  </si>
  <si>
    <t>880*0,2</t>
  </si>
  <si>
    <t>35+40+30</t>
  </si>
  <si>
    <t>75*0,3</t>
  </si>
  <si>
    <t>(1,4+1,4)*4*1,5</t>
  </si>
  <si>
    <t>0,6*1,5</t>
  </si>
  <si>
    <t>2,1*2*1,2</t>
  </si>
  <si>
    <t>2,4*1,2+2,4*3,3</t>
  </si>
  <si>
    <t>1,7*2*3,3</t>
  </si>
  <si>
    <t>1,83*3,3</t>
  </si>
  <si>
    <t>1,83*1,2</t>
  </si>
  <si>
    <t>2,25*3,3*2</t>
  </si>
  <si>
    <t>2,18*3,3*2</t>
  </si>
  <si>
    <t>3,98+6,9+9,36+1,8</t>
  </si>
  <si>
    <t>180,4</t>
  </si>
  <si>
    <t>1 NP</t>
  </si>
  <si>
    <t>288,3*0,06</t>
  </si>
  <si>
    <t>180,4*0,06</t>
  </si>
  <si>
    <t>1NP</t>
  </si>
  <si>
    <t>0,1</t>
  </si>
  <si>
    <t>48*0,15*0,6</t>
  </si>
  <si>
    <t>800/1970 L</t>
  </si>
  <si>
    <t>800/1970 P</t>
  </si>
  <si>
    <t>900/1970 L</t>
  </si>
  <si>
    <t>900/1970 P</t>
  </si>
  <si>
    <t>700/1970  L</t>
  </si>
  <si>
    <t>700/1970  P</t>
  </si>
  <si>
    <t>600/1970 L</t>
  </si>
  <si>
    <t>600/1970 P</t>
  </si>
  <si>
    <t>1+1</t>
  </si>
  <si>
    <t>1750/2200 L +P    protippžární</t>
  </si>
  <si>
    <t>1450/1970 dvoukřídlé</t>
  </si>
  <si>
    <t>1,2*0,5</t>
  </si>
  <si>
    <t>15+3+6+4+3+5</t>
  </si>
  <si>
    <t>odměřeno CAD - viz příloha: kanalizace</t>
  </si>
  <si>
    <t>3+1</t>
  </si>
  <si>
    <t>211+19</t>
  </si>
  <si>
    <t xml:space="preserve"> dešt kan</t>
  </si>
  <si>
    <t>1,2</t>
  </si>
  <si>
    <t>odměřeno CAD - viz příloha: vodovod</t>
  </si>
  <si>
    <t>1+3</t>
  </si>
  <si>
    <t>šatny</t>
  </si>
  <si>
    <t>zázemí kuch</t>
  </si>
  <si>
    <t>odtahová</t>
  </si>
  <si>
    <t>přívodní4</t>
  </si>
  <si>
    <t>0</t>
  </si>
  <si>
    <t>DN 15</t>
  </si>
  <si>
    <t>DN 20</t>
  </si>
  <si>
    <t>0,4*4*3,3*2</t>
  </si>
  <si>
    <t>(4,95+5+5,3+2,5)*1,8</t>
  </si>
  <si>
    <t>31+1</t>
  </si>
  <si>
    <t>L</t>
  </si>
  <si>
    <t>1,95</t>
  </si>
  <si>
    <t>v 1,30  1</t>
  </si>
  <si>
    <t>v 1,25   2</t>
  </si>
  <si>
    <t>3,3</t>
  </si>
  <si>
    <t>v1,25     3</t>
  </si>
  <si>
    <t>vš1,25</t>
  </si>
  <si>
    <t>2*3,3</t>
  </si>
  <si>
    <t>3*1,8</t>
  </si>
  <si>
    <t>265,6*1,1</t>
  </si>
  <si>
    <t>viz tabulka</t>
  </si>
  <si>
    <t>viz pol.vysav podlah pred pokládkou dlažby</t>
  </si>
  <si>
    <t>ve sprchách i část svis stěn</t>
  </si>
  <si>
    <t>pod povrhy altro</t>
  </si>
  <si>
    <t>4*0,9</t>
  </si>
  <si>
    <t>292,2</t>
  </si>
  <si>
    <t>292,2+227*0,10+32+25*0,1</t>
  </si>
  <si>
    <t>;ztratné 10%; 34,94</t>
  </si>
  <si>
    <t>17,8</t>
  </si>
  <si>
    <t>235,7</t>
  </si>
  <si>
    <t>253,5</t>
  </si>
  <si>
    <t>20*0,95</t>
  </si>
  <si>
    <t>35+53</t>
  </si>
  <si>
    <t>29+236</t>
  </si>
  <si>
    <t>33+34</t>
  </si>
  <si>
    <t>94,1</t>
  </si>
  <si>
    <t>286+28</t>
  </si>
  <si>
    <t>545</t>
  </si>
  <si>
    <t>16*2,4</t>
  </si>
  <si>
    <t>15*2,4</t>
  </si>
  <si>
    <t>;ztratné 10%; 54,5</t>
  </si>
  <si>
    <t>16*2</t>
  </si>
  <si>
    <t>12*2</t>
  </si>
  <si>
    <t>unik východ</t>
  </si>
  <si>
    <t>šachta výtahu</t>
  </si>
  <si>
    <t>pod rampou v okolí chlazení</t>
  </si>
  <si>
    <t>2*0,6*0,9*2</t>
  </si>
  <si>
    <t>2,1</t>
  </si>
  <si>
    <t>poklopy šachet</t>
  </si>
  <si>
    <t>63,3</t>
  </si>
  <si>
    <t>v 1,8 m</t>
  </si>
  <si>
    <t>937,26</t>
  </si>
  <si>
    <t>600</t>
  </si>
  <si>
    <t>strop 1PP</t>
  </si>
  <si>
    <t>679</t>
  </si>
  <si>
    <t>stěny 1 pp</t>
  </si>
  <si>
    <t>469</t>
  </si>
  <si>
    <t>strop 1 NP</t>
  </si>
  <si>
    <t>stěny 1NP</t>
  </si>
  <si>
    <t>1755</t>
  </si>
  <si>
    <t>ddt penetrace</t>
  </si>
  <si>
    <t>rezerva</t>
  </si>
  <si>
    <t>18,9*18,9</t>
  </si>
  <si>
    <t>18,9*10</t>
  </si>
  <si>
    <t>18,9*18,9*2</t>
  </si>
  <si>
    <t>8*800</t>
  </si>
  <si>
    <t>6,1*6,95</t>
  </si>
  <si>
    <t>V1</t>
  </si>
  <si>
    <t>1,8*1,25*2</t>
  </si>
  <si>
    <t>4,34*5</t>
  </si>
  <si>
    <t>1,25*0,95</t>
  </si>
  <si>
    <t>(2,7+3,05+2,43+1,55)*3,3</t>
  </si>
  <si>
    <t>(2,35+2,05+2,4)*3,3</t>
  </si>
  <si>
    <t>(1,55+1,05)*3,3</t>
  </si>
  <si>
    <t>(2,38+1,5+0,98+1,83+1,38+0,85+1,85+0,9)*3,3</t>
  </si>
  <si>
    <t>(2,65+2,3+0,95+7,25)*3,3</t>
  </si>
  <si>
    <t>8,65*0,95</t>
  </si>
  <si>
    <t>2,2*0,9</t>
  </si>
  <si>
    <t>montážní otvor</t>
  </si>
  <si>
    <t>101,84*2</t>
  </si>
  <si>
    <t>bourané příčky</t>
  </si>
  <si>
    <t>vlhke zdivo 30% z 880</t>
  </si>
  <si>
    <t>51,6*2</t>
  </si>
  <si>
    <t>bourané příčky 1 NP</t>
  </si>
  <si>
    <t>2,05*1,95*0,5</t>
  </si>
  <si>
    <t>výtah</t>
  </si>
  <si>
    <t>(1,1*1,1*0,25)*3</t>
  </si>
  <si>
    <t>pod agregáty chlazení</t>
  </si>
  <si>
    <t>(6,7+6,6+7,3)*0,25</t>
  </si>
  <si>
    <t>podlaha pod chladící boxy</t>
  </si>
  <si>
    <t>1*1*0,6</t>
  </si>
  <si>
    <t>nouzový únik</t>
  </si>
  <si>
    <t>2,8*3,35</t>
  </si>
  <si>
    <t>1,95*3,75</t>
  </si>
  <si>
    <t>(3,5+3,5+2,45+2,45)*3,3+(2,45*3,5)*2</t>
  </si>
  <si>
    <t>box 1,24</t>
  </si>
  <si>
    <t>(2,7+2,7+2,4+2,4)*3,3+(2,7*2,4)*2</t>
  </si>
  <si>
    <t>box 1,25</t>
  </si>
  <si>
    <t>box 1,21</t>
  </si>
  <si>
    <t>6,7+6,6+7,3</t>
  </si>
  <si>
    <t>bourání pod chlad box</t>
  </si>
  <si>
    <t>2,9*2,6</t>
  </si>
  <si>
    <t>nový chl box</t>
  </si>
  <si>
    <t>3,15*2,6</t>
  </si>
  <si>
    <t>0,06*(2,9*2,6)+(3,15*2,6)*0,06</t>
  </si>
  <si>
    <t>(6+7+11+2+22)*0,6*0,3</t>
  </si>
  <si>
    <t>trasa nové kanalizace</t>
  </si>
  <si>
    <t>cely suteren</t>
  </si>
  <si>
    <t>+180,4*0,06</t>
  </si>
  <si>
    <t>3+2</t>
  </si>
  <si>
    <t>25,93+7,9+1,64+4,43+1,1+1,35+1,27+4,4+1,51+10,61+9,46+17,32</t>
  </si>
  <si>
    <t>4,73+4,46+6,7+12,83+13,98+5,84+7,51+4,8</t>
  </si>
  <si>
    <t>95,16+11,76+12,26+2,25+2,26+1,12+20,95+17,8+11,3+0,72+4,44</t>
  </si>
  <si>
    <t>(2,38+0,65+1)*1,4</t>
  </si>
  <si>
    <t>(2,43+4,65+2,33+2,33)*1,8</t>
  </si>
  <si>
    <t>(3,3+3,3+2,08+2,08)*1,8</t>
  </si>
  <si>
    <t>(3,93+1,5)*1,8</t>
  </si>
  <si>
    <t>(2,53+2,53+2,38)*1,8</t>
  </si>
  <si>
    <t>(1,83+1+0,3)*1,8</t>
  </si>
  <si>
    <t>(3,5+3,5+2,45+2,45)*3,3</t>
  </si>
  <si>
    <t>(2,7+2,7+2,4+2,4)*3,3</t>
  </si>
  <si>
    <t>(1,1+1,1+0,7+0,7+0,8+0,8+4,95+2,85+5,8)*1,85</t>
  </si>
  <si>
    <t>1 NP mimo bourané příčky</t>
  </si>
  <si>
    <t>(0,4+0,2+0,75+1,6+1,7+0,9+0,35+1,05+1,8+3+1,6+0,9+1,75+0,9+4,65+0,4+2,25)*1,85</t>
  </si>
  <si>
    <t>(4,78+2,3+0,15+1,15+4,45+2,5+0,7)*1,85</t>
  </si>
  <si>
    <t>(1,2+1,2+1,6+1,21+1,21+2,4+2,2+2,26)*1,6</t>
  </si>
  <si>
    <t>4*3,3</t>
  </si>
  <si>
    <t>(4,6+3,2+1,9)*1,4</t>
  </si>
  <si>
    <t>1,2*0,9*4</t>
  </si>
  <si>
    <t>1,8*0,9*2</t>
  </si>
  <si>
    <t>7,5</t>
  </si>
  <si>
    <t>2055</t>
  </si>
  <si>
    <t>720</t>
  </si>
  <si>
    <t>425</t>
  </si>
  <si>
    <t>500</t>
  </si>
  <si>
    <t>476</t>
  </si>
  <si>
    <t>526</t>
  </si>
  <si>
    <t>1,25*0,95*0,5</t>
  </si>
  <si>
    <t>výtah 2</t>
  </si>
  <si>
    <t>od agregáty chlazení</t>
  </si>
  <si>
    <t>1,25*0,95*0,7</t>
  </si>
  <si>
    <t>(1,25+1,25+0,9+0,95)*0,3*0,7</t>
  </si>
  <si>
    <t>(1,4+1,4+1,6+1,6)*0,3*0,2</t>
  </si>
  <si>
    <t>1,6*1,4*0,1</t>
  </si>
  <si>
    <t>1,6*1,4*0,15</t>
  </si>
  <si>
    <t>0,015</t>
  </si>
  <si>
    <t>v2</t>
  </si>
  <si>
    <t>203*8</t>
  </si>
  <si>
    <t>přesun do 50 m</t>
  </si>
  <si>
    <t>20*203</t>
  </si>
  <si>
    <t>odvoz do 25km</t>
  </si>
  <si>
    <t>210,1*0,4</t>
  </si>
  <si>
    <t>1,5</t>
  </si>
  <si>
    <t>stavební rozpočet pro ocenění</t>
  </si>
  <si>
    <t>všechny položky naceńte práci a materiál pokud materiál nemá vlastní řádek a všechny nutné přidružené práce</t>
  </si>
  <si>
    <t>RTS I / 2025 - vlastní</t>
  </si>
  <si>
    <t xml:space="preserve">Výplň spár dlažby z lomového kamene kam.těženým  frakce 0 - 4 </t>
  </si>
  <si>
    <t>D+M Izolace proti vlhk. přitavením včetně penetrace a dodávky modifikovaných  izolačních pasú</t>
  </si>
  <si>
    <t>Demontáž potrubí kanalizačního bez ohledu na materiál do DN 200 mm</t>
  </si>
  <si>
    <t>Dodávka a montáž nerezového sloupku  150/150/5</t>
  </si>
  <si>
    <t>Lepení povlakové podlahy z pásů PVC Altro, mokrý a mastný provoz včetně dodávky podlahoviny tl. 3,0 mm</t>
  </si>
  <si>
    <t>14,05,2025</t>
  </si>
  <si>
    <r>
      <t xml:space="preserve">zařízení kuchyní    </t>
    </r>
    <r>
      <rPr>
        <b/>
        <sz val="8"/>
        <color rgb="FF000000"/>
        <rFont val="Arial"/>
        <family val="2"/>
        <charset val="238"/>
      </rPr>
      <t>samostatné výběrové řízení</t>
    </r>
  </si>
  <si>
    <t>Vybavení ostatní  dodáváno společně s technologií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</si>
</sst>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9"/>
      <color rgb="FF80008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AEAEA"/>
        <bgColor rgb="FFEAEAEA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0">
    <xf numFmtId="0" fontId="0" fillId="0" borderId="0"/>
    <xf numFmtId="0" fontId="12" fillId="0" borderId="72"/>
    <xf numFmtId="0" fontId="14" fillId="0" borderId="72"/>
    <xf numFmtId="0" fontId="12" fillId="0" borderId="72"/>
    <xf numFmtId="0" fontId="14" fillId="0" borderId="72"/>
    <xf numFmtId="0" fontId="14" fillId="0" borderId="72"/>
    <xf numFmtId="0" fontId="14" fillId="0" borderId="72"/>
    <xf numFmtId="0" fontId="15" fillId="0" borderId="72"/>
    <xf numFmtId="0" fontId="12" fillId="0" borderId="72"/>
    <xf numFmtId="0" fontId="15" fillId="0" borderId="72"/>
  </cellStyleXfs>
  <cellXfs count="183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0" fillId="0" borderId="63" xfId="0" applyBorder="1"/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0" fillId="0" borderId="70" xfId="0" applyBorder="1"/>
    <xf numFmtId="0" fontId="2" fillId="3" borderId="71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2" fillId="3" borderId="40" xfId="0" applyFont="1" applyFill="1" applyBorder="1" applyAlignment="1">
      <alignment horizontal="left" vertical="center"/>
    </xf>
    <xf numFmtId="4" fontId="3" fillId="3" borderId="40" xfId="0" applyNumberFormat="1" applyFont="1" applyFill="1" applyBorder="1" applyAlignment="1">
      <alignment horizontal="right" vertical="center"/>
    </xf>
    <xf numFmtId="0" fontId="3" fillId="3" borderId="40" xfId="0" applyFont="1" applyFill="1" applyBorder="1" applyAlignment="1">
      <alignment horizontal="right" vertical="center"/>
    </xf>
    <xf numFmtId="0" fontId="0" fillId="0" borderId="6" xfId="0" applyBorder="1"/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0" fontId="0" fillId="0" borderId="9" xfId="0" applyBorder="1"/>
    <xf numFmtId="4" fontId="3" fillId="0" borderId="72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78" xfId="0" applyFont="1" applyBorder="1" applyAlignment="1">
      <alignment horizontal="right" vertical="center"/>
    </xf>
    <xf numFmtId="0" fontId="3" fillId="0" borderId="79" xfId="0" applyFont="1" applyBorder="1" applyAlignment="1">
      <alignment horizontal="left" vertical="center"/>
    </xf>
    <xf numFmtId="0" fontId="3" fillId="2" borderId="71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right" vertical="center"/>
    </xf>
    <xf numFmtId="0" fontId="3" fillId="2" borderId="80" xfId="0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0" fillId="0" borderId="5" xfId="0" applyBorder="1"/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5" borderId="0" xfId="0" applyNumberFormat="1" applyFont="1" applyFill="1" applyAlignment="1" applyProtection="1">
      <alignment horizontal="right" vertical="center"/>
      <protection locked="0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2" fillId="5" borderId="8" xfId="0" applyNumberFormat="1" applyFont="1" applyFill="1" applyBorder="1" applyAlignment="1" applyProtection="1">
      <alignment horizontal="right" vertical="center"/>
      <protection locked="0"/>
    </xf>
    <xf numFmtId="4" fontId="2" fillId="5" borderId="16" xfId="0" applyNumberFormat="1" applyFont="1" applyFill="1" applyBorder="1" applyAlignment="1" applyProtection="1">
      <alignment horizontal="right" vertical="center"/>
      <protection locked="0"/>
    </xf>
    <xf numFmtId="4" fontId="2" fillId="4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18" fillId="5" borderId="0" xfId="0" applyNumberFormat="1" applyFont="1" applyFill="1" applyAlignment="1" applyProtection="1">
      <alignment horizontal="left" vertical="center"/>
      <protection locked="0"/>
    </xf>
    <xf numFmtId="49" fontId="2" fillId="5" borderId="6" xfId="0" applyNumberFormat="1" applyFont="1" applyFill="1" applyBorder="1" applyAlignment="1" applyProtection="1">
      <alignment horizontal="left" vertical="center"/>
      <protection locked="0"/>
    </xf>
    <xf numFmtId="49" fontId="2" fillId="5" borderId="0" xfId="0" applyNumberFormat="1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5" borderId="6" xfId="0" applyFont="1" applyFill="1" applyBorder="1" applyAlignment="1" applyProtection="1">
      <alignment horizontal="left" vertical="center"/>
      <protection locked="0"/>
    </xf>
    <xf numFmtId="0" fontId="2" fillId="5" borderId="41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14" fontId="18" fillId="5" borderId="0" xfId="0" applyNumberFormat="1" applyFont="1" applyFill="1" applyAlignment="1" applyProtection="1">
      <alignment horizontal="left" vertical="center"/>
      <protection locked="0"/>
    </xf>
    <xf numFmtId="14" fontId="2" fillId="5" borderId="41" xfId="0" applyNumberFormat="1" applyFont="1" applyFill="1" applyBorder="1" applyAlignment="1" applyProtection="1">
      <alignment horizontal="left" vertical="center"/>
      <protection locked="0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16" fillId="3" borderId="40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</cellXfs>
  <cellStyles count="10">
    <cellStyle name="Normální" xfId="0" builtinId="0"/>
    <cellStyle name="Normální 10" xfId="4" xr:uid="{9D7BF53F-8D24-4814-A93C-173A32D1278F}"/>
    <cellStyle name="Normální 11" xfId="3" xr:uid="{DF893F0E-F5CE-4971-BE89-9FBF1882CB5B}"/>
    <cellStyle name="normální 2" xfId="1" xr:uid="{C100D0DB-B84A-4AC0-8FD6-3106887F0C01}"/>
    <cellStyle name="normální 2 3" xfId="8" xr:uid="{3B076B02-36A0-431C-AE5A-1C79FC6CA5AB}"/>
    <cellStyle name="Normální 3" xfId="7" xr:uid="{FB406C5D-36E7-48C5-A882-462E449ED88D}"/>
    <cellStyle name="Normální 4" xfId="9" xr:uid="{A06FEEF9-4BB5-4E5F-AAFC-260CACFE7C6B}"/>
    <cellStyle name="Normální 5" xfId="2" xr:uid="{D65EFC24-3477-4EFE-947A-BC60BCA09AEE}"/>
    <cellStyle name="Normální 8" xfId="6" xr:uid="{2E21901F-3A81-4D2A-8186-D85C2A91C255}"/>
    <cellStyle name="Normální 9" xfId="5" xr:uid="{D2DEDE8F-F359-4BC6-A63C-D58F11DD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opLeftCell="A10" workbookViewId="0">
      <selection activeCell="C2" sqref="C2:D3"/>
    </sheetView>
  </sheetViews>
  <sheetFormatPr defaultColWidth="12.08984375" defaultRowHeight="15" customHeight="1" x14ac:dyDescent="0.35"/>
  <cols>
    <col min="1" max="1" width="9.08984375" customWidth="1"/>
    <col min="2" max="2" width="12.90625" customWidth="1"/>
    <col min="3" max="3" width="27.08984375" customWidth="1"/>
    <col min="4" max="4" width="10" customWidth="1"/>
    <col min="5" max="5" width="14" customWidth="1"/>
    <col min="6" max="6" width="27.08984375" customWidth="1"/>
    <col min="7" max="7" width="9.08984375" customWidth="1"/>
    <col min="8" max="8" width="12.90625" customWidth="1"/>
    <col min="9" max="9" width="27.08984375" customWidth="1"/>
  </cols>
  <sheetData>
    <row r="1" spans="1:9" ht="54.75" customHeight="1" x14ac:dyDescent="0.35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9" ht="14.5" x14ac:dyDescent="0.35">
      <c r="A2" s="85" t="s">
        <v>1</v>
      </c>
      <c r="B2" s="86"/>
      <c r="C2" s="95" t="str">
        <f>'Stavební rozpočet'!C2</f>
        <v>REKONSTRUKCE KUCHYNĚ -  ZŠ ZÁRUBOVA</v>
      </c>
      <c r="D2" s="96"/>
      <c r="E2" s="90" t="s">
        <v>2</v>
      </c>
      <c r="F2" s="90" t="str">
        <f>'Stavební rozpočet'!I2</f>
        <v>Městská část Praha 12,Generála Šišky 2375/6, Praha</v>
      </c>
      <c r="G2" s="86"/>
      <c r="H2" s="90" t="s">
        <v>3</v>
      </c>
      <c r="I2" s="92" t="s">
        <v>4</v>
      </c>
    </row>
    <row r="3" spans="1:9" ht="15" customHeight="1" x14ac:dyDescent="0.35">
      <c r="A3" s="87"/>
      <c r="B3" s="88"/>
      <c r="C3" s="97"/>
      <c r="D3" s="97"/>
      <c r="E3" s="88"/>
      <c r="F3" s="88"/>
      <c r="G3" s="88"/>
      <c r="H3" s="88"/>
      <c r="I3" s="93"/>
    </row>
    <row r="4" spans="1:9" ht="14.5" x14ac:dyDescent="0.35">
      <c r="A4" s="89" t="s">
        <v>5</v>
      </c>
      <c r="B4" s="88"/>
      <c r="C4" s="91" t="str">
        <f>'Stavební rozpočet'!C4</f>
        <v>Oprava a rekonstrukce</v>
      </c>
      <c r="D4" s="88"/>
      <c r="E4" s="91" t="s">
        <v>6</v>
      </c>
      <c r="F4" s="91" t="str">
        <f>'Stavební rozpočet'!I4</f>
        <v>MIKRO PRAHA spol s.r.</v>
      </c>
      <c r="G4" s="88"/>
      <c r="H4" s="91" t="s">
        <v>3</v>
      </c>
      <c r="I4" s="93" t="s">
        <v>7</v>
      </c>
    </row>
    <row r="5" spans="1:9" ht="15" customHeight="1" x14ac:dyDescent="0.35">
      <c r="A5" s="87"/>
      <c r="B5" s="88"/>
      <c r="C5" s="88"/>
      <c r="D5" s="88"/>
      <c r="E5" s="88"/>
      <c r="F5" s="88"/>
      <c r="G5" s="88"/>
      <c r="H5" s="88"/>
      <c r="I5" s="93"/>
    </row>
    <row r="6" spans="1:9" ht="14.5" x14ac:dyDescent="0.35">
      <c r="A6" s="89" t="s">
        <v>8</v>
      </c>
      <c r="B6" s="88"/>
      <c r="C6" s="91" t="str">
        <f>'Stavební rozpočet'!C6</f>
        <v>ZÁRUBOVA 977/17, K.Ú. KAMÝK, PRAHA 12</v>
      </c>
      <c r="D6" s="88"/>
      <c r="E6" s="91" t="s">
        <v>9</v>
      </c>
      <c r="F6" s="91" t="str">
        <f>'Stavební rozpočet'!I6</f>
        <v>0</v>
      </c>
      <c r="G6" s="88"/>
      <c r="H6" s="91" t="s">
        <v>3</v>
      </c>
      <c r="I6" s="93" t="s">
        <v>10</v>
      </c>
    </row>
    <row r="7" spans="1:9" ht="15" customHeight="1" x14ac:dyDescent="0.35">
      <c r="A7" s="87"/>
      <c r="B7" s="88"/>
      <c r="C7" s="88"/>
      <c r="D7" s="88"/>
      <c r="E7" s="88"/>
      <c r="F7" s="88"/>
      <c r="G7" s="88"/>
      <c r="H7" s="88"/>
      <c r="I7" s="93"/>
    </row>
    <row r="8" spans="1:9" ht="14.5" x14ac:dyDescent="0.35">
      <c r="A8" s="89" t="s">
        <v>11</v>
      </c>
      <c r="B8" s="88"/>
      <c r="C8" s="91" t="str">
        <f>'Stavební rozpočet'!G4</f>
        <v xml:space="preserve"> </v>
      </c>
      <c r="D8" s="88"/>
      <c r="E8" s="91" t="s">
        <v>12</v>
      </c>
      <c r="F8" s="91" t="str">
        <f>'Stavební rozpočet'!G6</f>
        <v xml:space="preserve"> </v>
      </c>
      <c r="G8" s="88"/>
      <c r="H8" s="88" t="s">
        <v>13</v>
      </c>
      <c r="I8" s="94">
        <v>406</v>
      </c>
    </row>
    <row r="9" spans="1:9" ht="14.5" x14ac:dyDescent="0.35">
      <c r="A9" s="87"/>
      <c r="B9" s="88"/>
      <c r="C9" s="88"/>
      <c r="D9" s="88"/>
      <c r="E9" s="88"/>
      <c r="F9" s="88"/>
      <c r="G9" s="88"/>
      <c r="H9" s="88"/>
      <c r="I9" s="93"/>
    </row>
    <row r="10" spans="1:9" ht="14.5" x14ac:dyDescent="0.35">
      <c r="A10" s="89" t="s">
        <v>14</v>
      </c>
      <c r="B10" s="88"/>
      <c r="C10" s="91" t="str">
        <f>'Stavební rozpočet'!C8</f>
        <v xml:space="preserve"> </v>
      </c>
      <c r="D10" s="88"/>
      <c r="E10" s="91" t="s">
        <v>15</v>
      </c>
      <c r="F10" s="91">
        <f>'Stavební rozpočet'!I8</f>
        <v>0</v>
      </c>
      <c r="G10" s="88"/>
      <c r="H10" s="88" t="s">
        <v>16</v>
      </c>
      <c r="I10" s="99" t="str">
        <f>'Stavební rozpočet'!G8</f>
        <v>14,05,2025</v>
      </c>
    </row>
    <row r="11" spans="1:9" ht="14.5" x14ac:dyDescent="0.35">
      <c r="A11" s="104"/>
      <c r="B11" s="98"/>
      <c r="C11" s="98"/>
      <c r="D11" s="98"/>
      <c r="E11" s="98"/>
      <c r="F11" s="98"/>
      <c r="G11" s="98"/>
      <c r="H11" s="98"/>
      <c r="I11" s="100"/>
    </row>
    <row r="12" spans="1:9" ht="23" x14ac:dyDescent="0.35">
      <c r="A12" s="101" t="s">
        <v>17</v>
      </c>
      <c r="B12" s="101"/>
      <c r="C12" s="101"/>
      <c r="D12" s="101"/>
      <c r="E12" s="101"/>
      <c r="F12" s="101"/>
      <c r="G12" s="101"/>
      <c r="H12" s="101"/>
      <c r="I12" s="101"/>
    </row>
    <row r="13" spans="1:9" ht="26.25" customHeight="1" x14ac:dyDescent="0.35">
      <c r="A13" s="6" t="s">
        <v>18</v>
      </c>
      <c r="B13" s="102" t="s">
        <v>19</v>
      </c>
      <c r="C13" s="103"/>
      <c r="D13" s="7" t="s">
        <v>20</v>
      </c>
      <c r="E13" s="102" t="s">
        <v>21</v>
      </c>
      <c r="F13" s="103"/>
      <c r="G13" s="7" t="s">
        <v>22</v>
      </c>
      <c r="H13" s="102" t="s">
        <v>23</v>
      </c>
      <c r="I13" s="103"/>
    </row>
    <row r="14" spans="1:9" ht="15.5" x14ac:dyDescent="0.35">
      <c r="A14" s="8" t="s">
        <v>24</v>
      </c>
      <c r="B14" s="9" t="s">
        <v>25</v>
      </c>
      <c r="C14" s="10">
        <f>SUM('Stavební rozpočet'!AB12:AB918)</f>
        <v>0</v>
      </c>
      <c r="D14" s="111" t="s">
        <v>26</v>
      </c>
      <c r="E14" s="112"/>
      <c r="F14" s="10">
        <f>VORN!I15</f>
        <v>0</v>
      </c>
      <c r="G14" s="111" t="s">
        <v>27</v>
      </c>
      <c r="H14" s="112"/>
      <c r="I14" s="11">
        <f>VORN!I21</f>
        <v>0</v>
      </c>
    </row>
    <row r="15" spans="1:9" ht="15.5" x14ac:dyDescent="0.35">
      <c r="A15" s="12" t="s">
        <v>10</v>
      </c>
      <c r="B15" s="9" t="s">
        <v>28</v>
      </c>
      <c r="C15" s="10">
        <f>SUM('Stavební rozpočet'!AC12:AC918)</f>
        <v>0</v>
      </c>
      <c r="D15" s="111" t="s">
        <v>29</v>
      </c>
      <c r="E15" s="112"/>
      <c r="F15" s="10">
        <f>VORN!I16</f>
        <v>0</v>
      </c>
      <c r="G15" s="111" t="s">
        <v>30</v>
      </c>
      <c r="H15" s="112"/>
      <c r="I15" s="11">
        <f>VORN!I22</f>
        <v>0</v>
      </c>
    </row>
    <row r="16" spans="1:9" ht="15.5" x14ac:dyDescent="0.35">
      <c r="A16" s="8" t="s">
        <v>31</v>
      </c>
      <c r="B16" s="9" t="s">
        <v>25</v>
      </c>
      <c r="C16" s="10">
        <f>SUM('Stavební rozpočet'!AD12:AD918)</f>
        <v>0</v>
      </c>
      <c r="D16" s="111" t="s">
        <v>32</v>
      </c>
      <c r="E16" s="112"/>
      <c r="F16" s="10">
        <f>VORN!I17</f>
        <v>0</v>
      </c>
      <c r="G16" s="111" t="s">
        <v>33</v>
      </c>
      <c r="H16" s="112"/>
      <c r="I16" s="11">
        <f>VORN!I23</f>
        <v>0</v>
      </c>
    </row>
    <row r="17" spans="1:9" ht="15.5" x14ac:dyDescent="0.35">
      <c r="A17" s="12" t="s">
        <v>10</v>
      </c>
      <c r="B17" s="9" t="s">
        <v>28</v>
      </c>
      <c r="C17" s="10">
        <f>SUM('Stavební rozpočet'!AE12:AE918)</f>
        <v>0</v>
      </c>
      <c r="D17" s="111" t="s">
        <v>10</v>
      </c>
      <c r="E17" s="112"/>
      <c r="F17" s="11" t="s">
        <v>10</v>
      </c>
      <c r="G17" s="111" t="s">
        <v>34</v>
      </c>
      <c r="H17" s="112"/>
      <c r="I17" s="11">
        <f>VORN!I24</f>
        <v>0</v>
      </c>
    </row>
    <row r="18" spans="1:9" ht="15.5" x14ac:dyDescent="0.35">
      <c r="A18" s="8" t="s">
        <v>35</v>
      </c>
      <c r="B18" s="9" t="s">
        <v>25</v>
      </c>
      <c r="C18" s="10">
        <f>SUM('Stavební rozpočet'!AF12:AF918)</f>
        <v>0</v>
      </c>
      <c r="D18" s="111" t="s">
        <v>10</v>
      </c>
      <c r="E18" s="112"/>
      <c r="F18" s="11" t="s">
        <v>10</v>
      </c>
      <c r="G18" s="111" t="s">
        <v>36</v>
      </c>
      <c r="H18" s="112"/>
      <c r="I18" s="11">
        <f>VORN!I25</f>
        <v>0</v>
      </c>
    </row>
    <row r="19" spans="1:9" ht="15.5" x14ac:dyDescent="0.35">
      <c r="A19" s="12" t="s">
        <v>10</v>
      </c>
      <c r="B19" s="9" t="s">
        <v>28</v>
      </c>
      <c r="C19" s="10">
        <f>SUM('Stavební rozpočet'!AG12:AG918)</f>
        <v>0</v>
      </c>
      <c r="D19" s="111" t="s">
        <v>10</v>
      </c>
      <c r="E19" s="112"/>
      <c r="F19" s="11" t="s">
        <v>10</v>
      </c>
      <c r="G19" s="111" t="s">
        <v>37</v>
      </c>
      <c r="H19" s="112"/>
      <c r="I19" s="11">
        <f>VORN!I26</f>
        <v>0</v>
      </c>
    </row>
    <row r="20" spans="1:9" ht="15.5" x14ac:dyDescent="0.35">
      <c r="A20" s="105" t="s">
        <v>38</v>
      </c>
      <c r="B20" s="106"/>
      <c r="C20" s="10">
        <f>SUM('Stavební rozpočet'!AH12:AH918)</f>
        <v>0</v>
      </c>
      <c r="D20" s="111" t="s">
        <v>10</v>
      </c>
      <c r="E20" s="112"/>
      <c r="F20" s="11" t="s">
        <v>10</v>
      </c>
      <c r="G20" s="111" t="s">
        <v>10</v>
      </c>
      <c r="H20" s="112"/>
      <c r="I20" s="11" t="s">
        <v>10</v>
      </c>
    </row>
    <row r="21" spans="1:9" ht="15.5" x14ac:dyDescent="0.35">
      <c r="A21" s="107" t="s">
        <v>39</v>
      </c>
      <c r="B21" s="108"/>
      <c r="C21" s="13">
        <f>SUM('Stavební rozpočet'!Z12:Z918)</f>
        <v>0</v>
      </c>
      <c r="D21" s="113" t="s">
        <v>10</v>
      </c>
      <c r="E21" s="114"/>
      <c r="F21" s="14" t="s">
        <v>10</v>
      </c>
      <c r="G21" s="113" t="s">
        <v>10</v>
      </c>
      <c r="H21" s="114"/>
      <c r="I21" s="14" t="s">
        <v>10</v>
      </c>
    </row>
    <row r="22" spans="1:9" ht="16.5" customHeight="1" x14ac:dyDescent="0.35">
      <c r="A22" s="109" t="s">
        <v>40</v>
      </c>
      <c r="B22" s="110"/>
      <c r="C22" s="15">
        <f>ROUND(SUM(C14:C21),0)</f>
        <v>0</v>
      </c>
      <c r="D22" s="115" t="s">
        <v>41</v>
      </c>
      <c r="E22" s="110"/>
      <c r="F22" s="15">
        <f>SUM(F14:F21)</f>
        <v>0</v>
      </c>
      <c r="G22" s="115" t="s">
        <v>42</v>
      </c>
      <c r="H22" s="110"/>
      <c r="I22" s="15">
        <f>SUM(I14:I21)</f>
        <v>0</v>
      </c>
    </row>
    <row r="23" spans="1:9" ht="15.5" x14ac:dyDescent="0.35">
      <c r="A23" s="105" t="s">
        <v>43</v>
      </c>
      <c r="B23" s="106"/>
      <c r="C23" s="10">
        <v>0</v>
      </c>
      <c r="D23" s="116" t="s">
        <v>44</v>
      </c>
      <c r="E23" s="106"/>
      <c r="F23" s="16">
        <v>0</v>
      </c>
      <c r="G23" s="116" t="s">
        <v>45</v>
      </c>
      <c r="H23" s="106"/>
      <c r="I23" s="10">
        <v>0</v>
      </c>
    </row>
    <row r="24" spans="1:9" ht="15.5" x14ac:dyDescent="0.35">
      <c r="A24" s="105" t="s">
        <v>46</v>
      </c>
      <c r="B24" s="106"/>
      <c r="C24" s="10">
        <f>ROUND(C22*(1-C23/100),0)</f>
        <v>0</v>
      </c>
      <c r="G24" s="105" t="s">
        <v>47</v>
      </c>
      <c r="H24" s="106"/>
      <c r="I24" s="13">
        <f>vorn_sum</f>
        <v>0</v>
      </c>
    </row>
    <row r="25" spans="1:9" ht="15.5" x14ac:dyDescent="0.35">
      <c r="G25" s="105" t="s">
        <v>48</v>
      </c>
      <c r="H25" s="106"/>
      <c r="I25" s="15">
        <v>0</v>
      </c>
    </row>
    <row r="28" spans="1:9" ht="15.5" x14ac:dyDescent="0.35">
      <c r="A28" s="117" t="s">
        <v>49</v>
      </c>
      <c r="B28" s="118"/>
      <c r="C28" s="17">
        <f>ROUND(SUM('Stavební rozpočet'!AJ12:AJ918)*(1-C23/100),0)</f>
        <v>0</v>
      </c>
    </row>
    <row r="29" spans="1:9" ht="15.5" x14ac:dyDescent="0.35">
      <c r="A29" s="119" t="s">
        <v>50</v>
      </c>
      <c r="B29" s="120"/>
      <c r="C29" s="18">
        <f>ROUND(SUM('Stavební rozpočet'!AK12:AK918)*(1-C23/100),0)</f>
        <v>0</v>
      </c>
      <c r="D29" s="121" t="s">
        <v>51</v>
      </c>
      <c r="E29" s="118"/>
      <c r="F29" s="17">
        <f>ROUND(C29*(12/100),2)</f>
        <v>0</v>
      </c>
      <c r="G29" s="121" t="s">
        <v>52</v>
      </c>
      <c r="H29" s="118"/>
      <c r="I29" s="17">
        <f>ROUND(SUM(C28:C30),0)</f>
        <v>0</v>
      </c>
    </row>
    <row r="30" spans="1:9" ht="15.5" x14ac:dyDescent="0.35">
      <c r="A30" s="119" t="s">
        <v>53</v>
      </c>
      <c r="B30" s="120"/>
      <c r="C30" s="18">
        <f>ROUND(SUM('Stavební rozpočet'!AL12:AL918)*(1-C23/100)+(F22+I22+F23+I23+I24+I25),0)</f>
        <v>0</v>
      </c>
      <c r="D30" s="122" t="s">
        <v>54</v>
      </c>
      <c r="E30" s="120"/>
      <c r="F30" s="18">
        <f>ROUND(C30*(21/100),2)</f>
        <v>0</v>
      </c>
      <c r="G30" s="122" t="s">
        <v>55</v>
      </c>
      <c r="H30" s="120"/>
      <c r="I30" s="18">
        <f>ROUND(SUM(F29:F30)+I29,0)</f>
        <v>0</v>
      </c>
    </row>
    <row r="32" spans="1:9" ht="15.5" x14ac:dyDescent="0.35">
      <c r="A32" s="132" t="s">
        <v>56</v>
      </c>
      <c r="B32" s="124"/>
      <c r="C32" s="125"/>
      <c r="D32" s="123" t="s">
        <v>57</v>
      </c>
      <c r="E32" s="124"/>
      <c r="F32" s="125"/>
      <c r="G32" s="123" t="s">
        <v>58</v>
      </c>
      <c r="H32" s="124"/>
      <c r="I32" s="125"/>
    </row>
    <row r="33" spans="1:9" ht="15.5" x14ac:dyDescent="0.35">
      <c r="A33" s="133" t="s">
        <v>10</v>
      </c>
      <c r="B33" s="127"/>
      <c r="C33" s="128"/>
      <c r="D33" s="126" t="s">
        <v>10</v>
      </c>
      <c r="E33" s="127"/>
      <c r="F33" s="128"/>
      <c r="G33" s="126" t="s">
        <v>10</v>
      </c>
      <c r="H33" s="127"/>
      <c r="I33" s="128"/>
    </row>
    <row r="34" spans="1:9" ht="15.5" x14ac:dyDescent="0.35">
      <c r="A34" s="133" t="s">
        <v>10</v>
      </c>
      <c r="B34" s="127"/>
      <c r="C34" s="128"/>
      <c r="D34" s="126" t="s">
        <v>10</v>
      </c>
      <c r="E34" s="127"/>
      <c r="F34" s="128"/>
      <c r="G34" s="126" t="s">
        <v>10</v>
      </c>
      <c r="H34" s="127"/>
      <c r="I34" s="128"/>
    </row>
    <row r="35" spans="1:9" ht="15.5" x14ac:dyDescent="0.35">
      <c r="A35" s="133" t="s">
        <v>10</v>
      </c>
      <c r="B35" s="127"/>
      <c r="C35" s="128"/>
      <c r="D35" s="126" t="s">
        <v>10</v>
      </c>
      <c r="E35" s="127"/>
      <c r="F35" s="128"/>
      <c r="G35" s="126" t="s">
        <v>10</v>
      </c>
      <c r="H35" s="127"/>
      <c r="I35" s="128"/>
    </row>
    <row r="36" spans="1:9" ht="15.5" x14ac:dyDescent="0.35">
      <c r="A36" s="134" t="s">
        <v>59</v>
      </c>
      <c r="B36" s="130"/>
      <c r="C36" s="131"/>
      <c r="D36" s="129" t="s">
        <v>59</v>
      </c>
      <c r="E36" s="130"/>
      <c r="F36" s="131"/>
      <c r="G36" s="129" t="s">
        <v>59</v>
      </c>
      <c r="H36" s="130"/>
      <c r="I36" s="131"/>
    </row>
    <row r="37" spans="1:9" ht="14.5" x14ac:dyDescent="0.35">
      <c r="A37" s="19" t="s">
        <v>60</v>
      </c>
    </row>
    <row r="38" spans="1:9" ht="12.75" customHeight="1" x14ac:dyDescent="0.35">
      <c r="A38" s="91" t="s">
        <v>10</v>
      </c>
      <c r="B38" s="88"/>
      <c r="C38" s="88"/>
      <c r="D38" s="88"/>
      <c r="E38" s="88"/>
      <c r="F38" s="88"/>
      <c r="G38" s="88"/>
      <c r="H38" s="88"/>
      <c r="I38" s="88"/>
    </row>
  </sheetData>
  <sheetProtection algorithmName="SHA-512" hashValue="HsTIIKMxubMVozEq2SLIKqdQ+YBfDhJSEdInELHaG7KVPpTferjOQB/tPsd8RvgNlcS6oWzTFP5dOapEV3g7Yw==" saltValue="7HE8OHGpvqTwzz0SWCWJGQ==" spinCount="100000" sheet="1" objects="1" scenarios="1"/>
  <mergeCells count="85">
    <mergeCell ref="A38:I38"/>
    <mergeCell ref="G32:I32"/>
    <mergeCell ref="G33:I33"/>
    <mergeCell ref="G34:I34"/>
    <mergeCell ref="G35:I35"/>
    <mergeCell ref="G36:I36"/>
    <mergeCell ref="D32:F32"/>
    <mergeCell ref="D33:F33"/>
    <mergeCell ref="D34:F34"/>
    <mergeCell ref="D35:F35"/>
    <mergeCell ref="D36:F36"/>
    <mergeCell ref="A32:C32"/>
    <mergeCell ref="A33:C33"/>
    <mergeCell ref="A34:C34"/>
    <mergeCell ref="A35:C35"/>
    <mergeCell ref="A36:C36"/>
    <mergeCell ref="G24:H24"/>
    <mergeCell ref="G25:H25"/>
    <mergeCell ref="A28:B28"/>
    <mergeCell ref="A29:B29"/>
    <mergeCell ref="A30:B30"/>
    <mergeCell ref="D29:E29"/>
    <mergeCell ref="D30:E30"/>
    <mergeCell ref="G29:H29"/>
    <mergeCell ref="G30:H30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A20:B20"/>
    <mergeCell ref="A21:B21"/>
    <mergeCell ref="A22:B22"/>
    <mergeCell ref="A23:B23"/>
    <mergeCell ref="A24:B24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70078740157483" right="0.39370078740157483" top="0.59055118110236227" bottom="0.59055118110236227" header="0" footer="0"/>
  <pageSetup scale="82" orientation="landscape" r:id="rId1"/>
  <headerFooter>
    <oddHeader>&amp;CREKONSTRUKCE KUCHYNĚ -  ZŠ ZÁRUBOVA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workbookViewId="0">
      <selection activeCell="G22" sqref="G22"/>
    </sheetView>
  </sheetViews>
  <sheetFormatPr defaultColWidth="12.08984375" defaultRowHeight="15" customHeight="1" x14ac:dyDescent="0.35"/>
  <cols>
    <col min="1" max="1" width="9.08984375" customWidth="1"/>
    <col min="2" max="2" width="12.90625" customWidth="1"/>
    <col min="3" max="3" width="22.90625" customWidth="1"/>
    <col min="4" max="4" width="10" customWidth="1"/>
    <col min="5" max="5" width="14" customWidth="1"/>
    <col min="6" max="6" width="22.90625" customWidth="1"/>
    <col min="7" max="7" width="9.08984375" customWidth="1"/>
    <col min="8" max="8" width="17.08984375" customWidth="1"/>
    <col min="9" max="9" width="22.90625" customWidth="1"/>
  </cols>
  <sheetData>
    <row r="1" spans="1:9" ht="54.75" customHeight="1" x14ac:dyDescent="0.35">
      <c r="A1" s="83" t="s">
        <v>61</v>
      </c>
      <c r="B1" s="84"/>
      <c r="C1" s="84"/>
      <c r="D1" s="84"/>
      <c r="E1" s="84"/>
      <c r="F1" s="84"/>
      <c r="G1" s="84"/>
      <c r="H1" s="84"/>
      <c r="I1" s="84"/>
    </row>
    <row r="2" spans="1:9" ht="14.5" x14ac:dyDescent="0.35">
      <c r="A2" s="85" t="s">
        <v>1</v>
      </c>
      <c r="B2" s="86"/>
      <c r="C2" s="95" t="str">
        <f>'Stavební rozpočet'!C2</f>
        <v>REKONSTRUKCE KUCHYNĚ -  ZŠ ZÁRUBOVA</v>
      </c>
      <c r="D2" s="96"/>
      <c r="E2" s="90" t="s">
        <v>2</v>
      </c>
      <c r="F2" s="90" t="str">
        <f>'Stavební rozpočet'!I2</f>
        <v>Městská část Praha 12,Generála Šišky 2375/6, Praha</v>
      </c>
      <c r="G2" s="86"/>
      <c r="H2" s="90" t="s">
        <v>3</v>
      </c>
      <c r="I2" s="92" t="s">
        <v>4</v>
      </c>
    </row>
    <row r="3" spans="1:9" ht="15" customHeight="1" x14ac:dyDescent="0.35">
      <c r="A3" s="87"/>
      <c r="B3" s="88"/>
      <c r="C3" s="97"/>
      <c r="D3" s="97"/>
      <c r="E3" s="88"/>
      <c r="F3" s="88"/>
      <c r="G3" s="88"/>
      <c r="H3" s="88"/>
      <c r="I3" s="93"/>
    </row>
    <row r="4" spans="1:9" ht="14.5" x14ac:dyDescent="0.35">
      <c r="A4" s="89" t="s">
        <v>5</v>
      </c>
      <c r="B4" s="88"/>
      <c r="C4" s="91" t="str">
        <f>'Stavební rozpočet'!C4</f>
        <v>Oprava a rekonstrukce</v>
      </c>
      <c r="D4" s="88"/>
      <c r="E4" s="91" t="s">
        <v>6</v>
      </c>
      <c r="F4" s="91" t="str">
        <f>'Stavební rozpočet'!I4</f>
        <v>MIKRO PRAHA spol s.r.</v>
      </c>
      <c r="G4" s="88"/>
      <c r="H4" s="91" t="s">
        <v>3</v>
      </c>
      <c r="I4" s="93" t="s">
        <v>7</v>
      </c>
    </row>
    <row r="5" spans="1:9" ht="15" customHeight="1" x14ac:dyDescent="0.35">
      <c r="A5" s="87"/>
      <c r="B5" s="88"/>
      <c r="C5" s="88"/>
      <c r="D5" s="88"/>
      <c r="E5" s="88"/>
      <c r="F5" s="88"/>
      <c r="G5" s="88"/>
      <c r="H5" s="88"/>
      <c r="I5" s="93"/>
    </row>
    <row r="6" spans="1:9" ht="14.5" x14ac:dyDescent="0.35">
      <c r="A6" s="89" t="s">
        <v>8</v>
      </c>
      <c r="B6" s="88"/>
      <c r="C6" s="91" t="str">
        <f>'Stavební rozpočet'!C6</f>
        <v>ZÁRUBOVA 977/17, K.Ú. KAMÝK, PRAHA 12</v>
      </c>
      <c r="D6" s="88"/>
      <c r="E6" s="91" t="s">
        <v>9</v>
      </c>
      <c r="F6" s="91" t="str">
        <f>'Stavební rozpočet'!I6</f>
        <v>0</v>
      </c>
      <c r="G6" s="88"/>
      <c r="H6" s="91" t="s">
        <v>3</v>
      </c>
      <c r="I6" s="93" t="s">
        <v>10</v>
      </c>
    </row>
    <row r="7" spans="1:9" ht="15" customHeight="1" x14ac:dyDescent="0.35">
      <c r="A7" s="87"/>
      <c r="B7" s="88"/>
      <c r="C7" s="88"/>
      <c r="D7" s="88"/>
      <c r="E7" s="88"/>
      <c r="F7" s="88"/>
      <c r="G7" s="88"/>
      <c r="H7" s="88"/>
      <c r="I7" s="93"/>
    </row>
    <row r="8" spans="1:9" ht="14.5" x14ac:dyDescent="0.35">
      <c r="A8" s="89" t="s">
        <v>11</v>
      </c>
      <c r="B8" s="88"/>
      <c r="C8" s="91" t="str">
        <f>'Stavební rozpočet'!G4</f>
        <v xml:space="preserve"> </v>
      </c>
      <c r="D8" s="88"/>
      <c r="E8" s="91" t="s">
        <v>12</v>
      </c>
      <c r="F8" s="91" t="str">
        <f>'Stavební rozpočet'!G6</f>
        <v xml:space="preserve"> </v>
      </c>
      <c r="G8" s="88"/>
      <c r="H8" s="88" t="s">
        <v>13</v>
      </c>
      <c r="I8" s="94">
        <v>406</v>
      </c>
    </row>
    <row r="9" spans="1:9" ht="14.5" x14ac:dyDescent="0.35">
      <c r="A9" s="87"/>
      <c r="B9" s="88"/>
      <c r="C9" s="88"/>
      <c r="D9" s="88"/>
      <c r="E9" s="88"/>
      <c r="F9" s="88"/>
      <c r="G9" s="88"/>
      <c r="H9" s="88"/>
      <c r="I9" s="93"/>
    </row>
    <row r="10" spans="1:9" ht="14.5" x14ac:dyDescent="0.35">
      <c r="A10" s="89" t="s">
        <v>14</v>
      </c>
      <c r="B10" s="88"/>
      <c r="C10" s="91" t="str">
        <f>'Stavební rozpočet'!C8</f>
        <v xml:space="preserve"> </v>
      </c>
      <c r="D10" s="88"/>
      <c r="E10" s="91" t="s">
        <v>15</v>
      </c>
      <c r="F10" s="91">
        <f>'Stavební rozpočet'!I8</f>
        <v>0</v>
      </c>
      <c r="G10" s="88"/>
      <c r="H10" s="88" t="s">
        <v>16</v>
      </c>
      <c r="I10" s="99" t="str">
        <f>'Stavební rozpočet'!G8</f>
        <v>14,05,2025</v>
      </c>
    </row>
    <row r="11" spans="1:9" ht="14.5" x14ac:dyDescent="0.35">
      <c r="A11" s="104"/>
      <c r="B11" s="98"/>
      <c r="C11" s="98"/>
      <c r="D11" s="98"/>
      <c r="E11" s="98"/>
      <c r="F11" s="98"/>
      <c r="G11" s="98"/>
      <c r="H11" s="98"/>
      <c r="I11" s="100"/>
    </row>
    <row r="13" spans="1:9" ht="15.5" x14ac:dyDescent="0.35">
      <c r="A13" s="135" t="s">
        <v>62</v>
      </c>
      <c r="B13" s="135"/>
      <c r="C13" s="135"/>
      <c r="D13" s="135"/>
      <c r="E13" s="135"/>
    </row>
    <row r="14" spans="1:9" ht="14.5" x14ac:dyDescent="0.35">
      <c r="A14" s="136" t="s">
        <v>63</v>
      </c>
      <c r="B14" s="137"/>
      <c r="C14" s="137"/>
      <c r="D14" s="137"/>
      <c r="E14" s="138"/>
      <c r="F14" s="20" t="s">
        <v>64</v>
      </c>
      <c r="G14" s="20" t="s">
        <v>65</v>
      </c>
      <c r="H14" s="20" t="s">
        <v>66</v>
      </c>
      <c r="I14" s="20" t="s">
        <v>64</v>
      </c>
    </row>
    <row r="15" spans="1:9" ht="14.5" x14ac:dyDescent="0.35">
      <c r="A15" s="139" t="s">
        <v>26</v>
      </c>
      <c r="B15" s="140"/>
      <c r="C15" s="140"/>
      <c r="D15" s="140"/>
      <c r="E15" s="141"/>
      <c r="F15" s="21">
        <v>0</v>
      </c>
      <c r="G15" s="22" t="s">
        <v>10</v>
      </c>
      <c r="H15" s="22" t="s">
        <v>10</v>
      </c>
      <c r="I15" s="21">
        <f>F15</f>
        <v>0</v>
      </c>
    </row>
    <row r="16" spans="1:9" ht="14.5" x14ac:dyDescent="0.35">
      <c r="A16" s="139" t="s">
        <v>29</v>
      </c>
      <c r="B16" s="140"/>
      <c r="C16" s="140"/>
      <c r="D16" s="140"/>
      <c r="E16" s="141"/>
      <c r="F16" s="21">
        <v>0</v>
      </c>
      <c r="G16" s="22" t="s">
        <v>10</v>
      </c>
      <c r="H16" s="22" t="s">
        <v>10</v>
      </c>
      <c r="I16" s="21">
        <f>F16</f>
        <v>0</v>
      </c>
    </row>
    <row r="17" spans="1:9" ht="14.5" x14ac:dyDescent="0.35">
      <c r="A17" s="142" t="s">
        <v>32</v>
      </c>
      <c r="B17" s="143"/>
      <c r="C17" s="143"/>
      <c r="D17" s="143"/>
      <c r="E17" s="144"/>
      <c r="F17" s="23">
        <v>0</v>
      </c>
      <c r="G17" s="24" t="s">
        <v>10</v>
      </c>
      <c r="H17" s="24" t="s">
        <v>10</v>
      </c>
      <c r="I17" s="23">
        <f>F17</f>
        <v>0</v>
      </c>
    </row>
    <row r="18" spans="1:9" ht="14.5" x14ac:dyDescent="0.35">
      <c r="A18" s="145" t="s">
        <v>67</v>
      </c>
      <c r="B18" s="146"/>
      <c r="C18" s="146"/>
      <c r="D18" s="146"/>
      <c r="E18" s="147"/>
      <c r="F18" s="25" t="s">
        <v>10</v>
      </c>
      <c r="G18" s="26" t="s">
        <v>10</v>
      </c>
      <c r="H18" s="26" t="s">
        <v>10</v>
      </c>
      <c r="I18" s="27">
        <f>SUM(I15:I17)</f>
        <v>0</v>
      </c>
    </row>
    <row r="20" spans="1:9" ht="14.5" x14ac:dyDescent="0.35">
      <c r="A20" s="136" t="s">
        <v>23</v>
      </c>
      <c r="B20" s="137"/>
      <c r="C20" s="137"/>
      <c r="D20" s="137"/>
      <c r="E20" s="138"/>
      <c r="F20" s="20" t="s">
        <v>64</v>
      </c>
      <c r="G20" s="20" t="s">
        <v>65</v>
      </c>
      <c r="H20" s="20" t="s">
        <v>66</v>
      </c>
      <c r="I20" s="20" t="s">
        <v>64</v>
      </c>
    </row>
    <row r="21" spans="1:9" ht="14.5" x14ac:dyDescent="0.35">
      <c r="A21" s="139" t="s">
        <v>27</v>
      </c>
      <c r="B21" s="140"/>
      <c r="C21" s="140"/>
      <c r="D21" s="140"/>
      <c r="E21" s="141"/>
      <c r="F21" s="22" t="s">
        <v>10</v>
      </c>
      <c r="G21" s="81">
        <v>0</v>
      </c>
      <c r="H21" s="21">
        <f>'Krycí list rozpočtu'!C24</f>
        <v>0</v>
      </c>
      <c r="I21" s="21">
        <f>ROUND((G21/100)*H21,2)</f>
        <v>0</v>
      </c>
    </row>
    <row r="22" spans="1:9" ht="14.5" x14ac:dyDescent="0.35">
      <c r="A22" s="139" t="s">
        <v>30</v>
      </c>
      <c r="B22" s="140"/>
      <c r="C22" s="140"/>
      <c r="D22" s="140"/>
      <c r="E22" s="141"/>
      <c r="F22" s="81">
        <v>0</v>
      </c>
      <c r="G22" s="22" t="s">
        <v>10</v>
      </c>
      <c r="H22" s="22" t="s">
        <v>10</v>
      </c>
      <c r="I22" s="21">
        <f>F22</f>
        <v>0</v>
      </c>
    </row>
    <row r="23" spans="1:9" ht="14.5" x14ac:dyDescent="0.35">
      <c r="A23" s="139" t="s">
        <v>33</v>
      </c>
      <c r="B23" s="140"/>
      <c r="C23" s="140"/>
      <c r="D23" s="140"/>
      <c r="E23" s="141"/>
      <c r="F23" s="81">
        <v>0</v>
      </c>
      <c r="G23" s="22" t="s">
        <v>10</v>
      </c>
      <c r="H23" s="22" t="s">
        <v>10</v>
      </c>
      <c r="I23" s="21">
        <f>F23</f>
        <v>0</v>
      </c>
    </row>
    <row r="24" spans="1:9" ht="14.5" x14ac:dyDescent="0.35">
      <c r="A24" s="139" t="s">
        <v>34</v>
      </c>
      <c r="B24" s="140"/>
      <c r="C24" s="140"/>
      <c r="D24" s="140"/>
      <c r="E24" s="141"/>
      <c r="F24" s="81">
        <v>0</v>
      </c>
      <c r="G24" s="22" t="s">
        <v>10</v>
      </c>
      <c r="H24" s="22" t="s">
        <v>10</v>
      </c>
      <c r="I24" s="21">
        <f>F24</f>
        <v>0</v>
      </c>
    </row>
    <row r="25" spans="1:9" ht="14.5" x14ac:dyDescent="0.35">
      <c r="A25" s="139" t="s">
        <v>36</v>
      </c>
      <c r="B25" s="140"/>
      <c r="C25" s="140"/>
      <c r="D25" s="140"/>
      <c r="E25" s="141"/>
      <c r="F25" s="21">
        <v>0</v>
      </c>
      <c r="G25" s="22" t="s">
        <v>10</v>
      </c>
      <c r="H25" s="22" t="s">
        <v>10</v>
      </c>
      <c r="I25" s="21">
        <f>F25</f>
        <v>0</v>
      </c>
    </row>
    <row r="26" spans="1:9" ht="14.5" x14ac:dyDescent="0.35">
      <c r="A26" s="142" t="s">
        <v>37</v>
      </c>
      <c r="B26" s="143"/>
      <c r="C26" s="143"/>
      <c r="D26" s="143"/>
      <c r="E26" s="144"/>
      <c r="F26" s="23">
        <v>0</v>
      </c>
      <c r="G26" s="24" t="s">
        <v>10</v>
      </c>
      <c r="H26" s="24" t="s">
        <v>10</v>
      </c>
      <c r="I26" s="23">
        <f>F26</f>
        <v>0</v>
      </c>
    </row>
    <row r="27" spans="1:9" ht="14.5" x14ac:dyDescent="0.35">
      <c r="A27" s="145" t="s">
        <v>68</v>
      </c>
      <c r="B27" s="146"/>
      <c r="C27" s="146"/>
      <c r="D27" s="146"/>
      <c r="E27" s="147"/>
      <c r="F27" s="25" t="s">
        <v>10</v>
      </c>
      <c r="G27" s="26" t="s">
        <v>10</v>
      </c>
      <c r="H27" s="26" t="s">
        <v>10</v>
      </c>
      <c r="I27" s="27">
        <f>SUM(I21:I26)</f>
        <v>0</v>
      </c>
    </row>
    <row r="29" spans="1:9" ht="15.5" x14ac:dyDescent="0.35">
      <c r="A29" s="148" t="s">
        <v>69</v>
      </c>
      <c r="B29" s="149"/>
      <c r="C29" s="149"/>
      <c r="D29" s="149"/>
      <c r="E29" s="150"/>
      <c r="F29" s="151">
        <f>I18+I27</f>
        <v>0</v>
      </c>
      <c r="G29" s="152"/>
      <c r="H29" s="152"/>
      <c r="I29" s="153"/>
    </row>
    <row r="33" spans="1:9" ht="15.5" x14ac:dyDescent="0.35">
      <c r="A33" s="135" t="s">
        <v>70</v>
      </c>
      <c r="B33" s="135"/>
      <c r="C33" s="135"/>
      <c r="D33" s="135"/>
      <c r="E33" s="135"/>
    </row>
    <row r="34" spans="1:9" ht="14.5" x14ac:dyDescent="0.35">
      <c r="A34" s="136" t="s">
        <v>71</v>
      </c>
      <c r="B34" s="137"/>
      <c r="C34" s="137"/>
      <c r="D34" s="137"/>
      <c r="E34" s="138"/>
      <c r="F34" s="20" t="s">
        <v>64</v>
      </c>
      <c r="G34" s="20" t="s">
        <v>65</v>
      </c>
      <c r="H34" s="20" t="s">
        <v>66</v>
      </c>
      <c r="I34" s="20" t="s">
        <v>64</v>
      </c>
    </row>
    <row r="35" spans="1:9" ht="14.5" x14ac:dyDescent="0.35">
      <c r="A35" s="142" t="s">
        <v>10</v>
      </c>
      <c r="B35" s="143"/>
      <c r="C35" s="143"/>
      <c r="D35" s="143"/>
      <c r="E35" s="144"/>
      <c r="F35" s="23">
        <v>0</v>
      </c>
      <c r="G35" s="24" t="s">
        <v>10</v>
      </c>
      <c r="H35" s="24" t="s">
        <v>10</v>
      </c>
      <c r="I35" s="23">
        <f>F35</f>
        <v>0</v>
      </c>
    </row>
    <row r="36" spans="1:9" ht="14.5" x14ac:dyDescent="0.35">
      <c r="A36" s="145" t="s">
        <v>72</v>
      </c>
      <c r="B36" s="146"/>
      <c r="C36" s="146"/>
      <c r="D36" s="146"/>
      <c r="E36" s="147"/>
      <c r="F36" s="25" t="s">
        <v>10</v>
      </c>
      <c r="G36" s="26" t="s">
        <v>10</v>
      </c>
      <c r="H36" s="26" t="s">
        <v>10</v>
      </c>
      <c r="I36" s="27">
        <f>SUM(I35:I35)</f>
        <v>0</v>
      </c>
    </row>
  </sheetData>
  <sheetProtection algorithmName="SHA-512" hashValue="20A9bDcDA5kQCjXURDtbtLrJECLbvXcvBn/3GoMp7g/Qaz9gkK7Fla52GqjOT0yBK7wSdew/EfUqQv5WTWVZqQ==" saltValue="LB5D+oRSupWJJ34gIcIB8w==" spinCount="100000" sheet="1" objects="1" scenarios="1"/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70078740157483" right="0.39370078740157483" top="0.59055118110236227" bottom="0.59055118110236227" header="0" footer="0"/>
  <pageSetup scale="92" fitToHeight="0" orientation="landscape" r:id="rId1"/>
  <headerFooter>
    <oddHeader>&amp;CREKONSTRUKCE KUCHYNĚ -  ZŠ ZÁRUBOVA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464"/>
  <sheetViews>
    <sheetView tabSelected="1" workbookViewId="0">
      <pane ySplit="11" topLeftCell="A309" activePane="bottomLeft" state="frozen"/>
      <selection pane="bottomLeft" activeCell="C2" sqref="C2:D3"/>
    </sheetView>
  </sheetViews>
  <sheetFormatPr defaultColWidth="12.08984375" defaultRowHeight="15" customHeight="1" x14ac:dyDescent="0.35"/>
  <cols>
    <col min="1" max="1" width="4.54296875" customWidth="1"/>
    <col min="2" max="2" width="17.90625" customWidth="1"/>
    <col min="3" max="3" width="43" customWidth="1"/>
    <col min="4" max="4" width="35.6328125" customWidth="1"/>
    <col min="5" max="5" width="7.54296875" customWidth="1"/>
    <col min="6" max="6" width="12.90625" customWidth="1"/>
    <col min="7" max="7" width="16.54296875" customWidth="1"/>
    <col min="8" max="8" width="17" customWidth="1"/>
    <col min="9" max="9" width="14.6328125" customWidth="1"/>
    <col min="10" max="10" width="6.6328125" customWidth="1"/>
    <col min="25" max="75" width="12.08984375" hidden="1"/>
    <col min="76" max="76" width="78.54296875" hidden="1" customWidth="1"/>
    <col min="77" max="78" width="12.08984375" hidden="1"/>
  </cols>
  <sheetData>
    <row r="1" spans="1:76" ht="54.75" customHeight="1" x14ac:dyDescent="0.35">
      <c r="A1" s="84" t="s">
        <v>1686</v>
      </c>
      <c r="B1" s="84"/>
      <c r="C1" s="84"/>
      <c r="D1" s="84"/>
      <c r="E1" s="84"/>
      <c r="F1" s="84"/>
      <c r="G1" s="84"/>
      <c r="H1" s="84"/>
      <c r="I1" s="84"/>
      <c r="J1" s="84"/>
      <c r="AS1" s="28">
        <f>SUM(AJ1:AJ2)</f>
        <v>0</v>
      </c>
      <c r="AT1" s="28">
        <f>SUM(AK1:AK2)</f>
        <v>0</v>
      </c>
      <c r="AU1" s="28">
        <f>SUM(AL1:AL2)</f>
        <v>0</v>
      </c>
    </row>
    <row r="2" spans="1:76" ht="25" customHeight="1" x14ac:dyDescent="0.35">
      <c r="A2" s="85" t="s">
        <v>1</v>
      </c>
      <c r="B2" s="86"/>
      <c r="C2" s="95" t="s">
        <v>73</v>
      </c>
      <c r="D2" s="96"/>
      <c r="E2" s="86" t="s">
        <v>74</v>
      </c>
      <c r="F2" s="86"/>
      <c r="G2" s="86" t="s">
        <v>75</v>
      </c>
      <c r="H2" s="90" t="s">
        <v>2</v>
      </c>
      <c r="I2" s="90" t="s">
        <v>76</v>
      </c>
      <c r="J2" s="92"/>
    </row>
    <row r="3" spans="1:76" ht="25" customHeight="1" x14ac:dyDescent="0.35">
      <c r="A3" s="87"/>
      <c r="B3" s="88"/>
      <c r="C3" s="97"/>
      <c r="D3" s="97"/>
      <c r="E3" s="88"/>
      <c r="F3" s="88"/>
      <c r="G3" s="88"/>
      <c r="H3" s="88"/>
      <c r="I3" s="88"/>
      <c r="J3" s="93"/>
    </row>
    <row r="4" spans="1:76" ht="14.5" x14ac:dyDescent="0.35">
      <c r="A4" s="89" t="s">
        <v>5</v>
      </c>
      <c r="B4" s="88"/>
      <c r="C4" s="91" t="s">
        <v>77</v>
      </c>
      <c r="D4" s="88"/>
      <c r="E4" s="88" t="s">
        <v>11</v>
      </c>
      <c r="F4" s="88"/>
      <c r="G4" s="88" t="s">
        <v>75</v>
      </c>
      <c r="H4" s="91" t="s">
        <v>6</v>
      </c>
      <c r="I4" s="156" t="s">
        <v>78</v>
      </c>
      <c r="J4" s="93"/>
    </row>
    <row r="5" spans="1:76" ht="14.5" x14ac:dyDescent="0.35">
      <c r="A5" s="87"/>
      <c r="B5" s="88"/>
      <c r="C5" s="88"/>
      <c r="D5" s="88"/>
      <c r="E5" s="88"/>
      <c r="F5" s="88"/>
      <c r="G5" s="88"/>
      <c r="H5" s="88"/>
      <c r="I5" s="88"/>
      <c r="J5" s="93"/>
    </row>
    <row r="6" spans="1:76" ht="14.5" x14ac:dyDescent="0.35">
      <c r="A6" s="89" t="s">
        <v>8</v>
      </c>
      <c r="B6" s="88"/>
      <c r="C6" s="91" t="s">
        <v>79</v>
      </c>
      <c r="D6" s="88"/>
      <c r="E6" s="88" t="s">
        <v>12</v>
      </c>
      <c r="F6" s="88"/>
      <c r="G6" s="88" t="s">
        <v>75</v>
      </c>
      <c r="H6" s="91" t="s">
        <v>9</v>
      </c>
      <c r="I6" s="157" t="s">
        <v>1537</v>
      </c>
      <c r="J6" s="158"/>
    </row>
    <row r="7" spans="1:76" ht="14.5" x14ac:dyDescent="0.35">
      <c r="A7" s="87"/>
      <c r="B7" s="88"/>
      <c r="C7" s="88"/>
      <c r="D7" s="88"/>
      <c r="E7" s="88"/>
      <c r="F7" s="88"/>
      <c r="G7" s="88"/>
      <c r="H7" s="88"/>
      <c r="I7" s="159"/>
      <c r="J7" s="158"/>
    </row>
    <row r="8" spans="1:76" ht="14.5" x14ac:dyDescent="0.35">
      <c r="A8" s="89" t="s">
        <v>14</v>
      </c>
      <c r="B8" s="88"/>
      <c r="C8" s="91" t="s">
        <v>75</v>
      </c>
      <c r="D8" s="88"/>
      <c r="E8" s="88" t="s">
        <v>80</v>
      </c>
      <c r="F8" s="88"/>
      <c r="G8" s="166" t="s">
        <v>1694</v>
      </c>
      <c r="H8" s="91" t="s">
        <v>15</v>
      </c>
      <c r="I8" s="160">
        <v>0</v>
      </c>
      <c r="J8" s="161"/>
    </row>
    <row r="9" spans="1:76" ht="14.5" x14ac:dyDescent="0.35">
      <c r="A9" s="154"/>
      <c r="B9" s="155"/>
      <c r="C9" s="155"/>
      <c r="D9" s="155"/>
      <c r="E9" s="155"/>
      <c r="F9" s="155"/>
      <c r="G9" s="167"/>
      <c r="H9" s="155"/>
      <c r="I9" s="162"/>
      <c r="J9" s="163"/>
    </row>
    <row r="10" spans="1:76" ht="14.5" x14ac:dyDescent="0.35">
      <c r="A10" s="29" t="s">
        <v>81</v>
      </c>
      <c r="B10" s="30" t="s">
        <v>82</v>
      </c>
      <c r="C10" s="164" t="s">
        <v>83</v>
      </c>
      <c r="D10" s="165"/>
      <c r="E10" s="30" t="s">
        <v>84</v>
      </c>
      <c r="F10" s="31" t="s">
        <v>85</v>
      </c>
      <c r="G10" s="32" t="s">
        <v>86</v>
      </c>
      <c r="H10" s="33" t="s">
        <v>87</v>
      </c>
      <c r="I10" s="34" t="s">
        <v>88</v>
      </c>
      <c r="J10" s="35"/>
      <c r="BK10" s="36" t="s">
        <v>89</v>
      </c>
      <c r="BL10" s="37" t="s">
        <v>90</v>
      </c>
      <c r="BW10" s="37" t="s">
        <v>91</v>
      </c>
    </row>
    <row r="11" spans="1:76" ht="14.5" x14ac:dyDescent="0.35">
      <c r="A11" s="38" t="s">
        <v>75</v>
      </c>
      <c r="B11" s="39" t="s">
        <v>75</v>
      </c>
      <c r="C11" s="168" t="s">
        <v>92</v>
      </c>
      <c r="D11" s="169"/>
      <c r="E11" s="39" t="s">
        <v>75</v>
      </c>
      <c r="F11" s="39" t="s">
        <v>75</v>
      </c>
      <c r="G11" s="40" t="s">
        <v>93</v>
      </c>
      <c r="H11" s="41" t="s">
        <v>94</v>
      </c>
      <c r="I11" s="42" t="s">
        <v>95</v>
      </c>
      <c r="J11" s="43"/>
      <c r="Z11" s="36" t="s">
        <v>96</v>
      </c>
      <c r="AA11" s="36" t="s">
        <v>97</v>
      </c>
      <c r="AB11" s="36" t="s">
        <v>98</v>
      </c>
      <c r="AC11" s="36" t="s">
        <v>99</v>
      </c>
      <c r="AD11" s="36" t="s">
        <v>100</v>
      </c>
      <c r="AE11" s="36" t="s">
        <v>101</v>
      </c>
      <c r="AF11" s="36" t="s">
        <v>102</v>
      </c>
      <c r="AG11" s="36" t="s">
        <v>103</v>
      </c>
      <c r="AH11" s="36" t="s">
        <v>104</v>
      </c>
      <c r="BH11" s="36" t="s">
        <v>105</v>
      </c>
      <c r="BI11" s="36" t="s">
        <v>106</v>
      </c>
      <c r="BJ11" s="36" t="s">
        <v>107</v>
      </c>
    </row>
    <row r="12" spans="1:76" ht="32" customHeight="1" x14ac:dyDescent="0.35">
      <c r="A12" s="44" t="s">
        <v>10</v>
      </c>
      <c r="B12" s="45" t="s">
        <v>10</v>
      </c>
      <c r="C12" s="170" t="s">
        <v>1687</v>
      </c>
      <c r="D12" s="171"/>
      <c r="E12" s="46" t="s">
        <v>75</v>
      </c>
      <c r="F12" s="46" t="s">
        <v>75</v>
      </c>
      <c r="G12" s="46" t="s">
        <v>75</v>
      </c>
      <c r="H12" s="47">
        <f>H13+H21+H29+H32+H39+H44+H48+H50+H57+H64+H71+H76+H78+H80+H82+H117+H142+H156+H158+H198+H212+H224+H234+H247+H262+H272+H281+H289+H293+H296+H302+H304+H312+H314+H333+H335+H388+H409+H421+H433+H446</f>
        <v>0</v>
      </c>
      <c r="I12" s="48" t="s">
        <v>10</v>
      </c>
      <c r="J12" s="49"/>
    </row>
    <row r="13" spans="1:76" ht="14.5" x14ac:dyDescent="0.35">
      <c r="A13" s="50" t="s">
        <v>10</v>
      </c>
      <c r="B13" s="51" t="s">
        <v>108</v>
      </c>
      <c r="C13" s="172" t="s">
        <v>109</v>
      </c>
      <c r="D13" s="173"/>
      <c r="E13" s="52" t="s">
        <v>75</v>
      </c>
      <c r="F13" s="52" t="s">
        <v>75</v>
      </c>
      <c r="G13" s="52" t="s">
        <v>75</v>
      </c>
      <c r="H13" s="28">
        <f>SUM(H14:H20)</f>
        <v>0</v>
      </c>
      <c r="I13" s="36" t="s">
        <v>10</v>
      </c>
      <c r="J13" s="49"/>
      <c r="AI13" s="36" t="s">
        <v>10</v>
      </c>
      <c r="AS13" s="28">
        <f>SUM(AJ14:AJ20)</f>
        <v>0</v>
      </c>
      <c r="AT13" s="28">
        <f>SUM(AK14:AK20)</f>
        <v>0</v>
      </c>
      <c r="AU13" s="28">
        <f>SUM(AL14:AL20)</f>
        <v>0</v>
      </c>
    </row>
    <row r="14" spans="1:76" ht="25" customHeight="1" x14ac:dyDescent="0.35">
      <c r="A14" s="1" t="s">
        <v>110</v>
      </c>
      <c r="B14" s="2" t="s">
        <v>111</v>
      </c>
      <c r="C14" s="91" t="s">
        <v>112</v>
      </c>
      <c r="D14" s="88"/>
      <c r="E14" s="2" t="s">
        <v>113</v>
      </c>
      <c r="F14" s="53">
        <v>26</v>
      </c>
      <c r="G14" s="77">
        <v>0</v>
      </c>
      <c r="H14" s="53">
        <f t="shared" ref="H14:H20" si="0">ROUND(F14*G14,2)</f>
        <v>0</v>
      </c>
      <c r="I14" s="78" t="s">
        <v>1688</v>
      </c>
      <c r="J14" s="49"/>
      <c r="Z14" s="53">
        <f t="shared" ref="Z14:Z20" si="1">ROUND(IF(AQ14="5",BJ14,0),2)</f>
        <v>0</v>
      </c>
      <c r="AB14" s="53">
        <f t="shared" ref="AB14:AB20" si="2">ROUND(IF(AQ14="1",BH14,0),2)</f>
        <v>0</v>
      </c>
      <c r="AC14" s="53">
        <f t="shared" ref="AC14:AC20" si="3">ROUND(IF(AQ14="1",BI14,0),2)</f>
        <v>0</v>
      </c>
      <c r="AD14" s="53">
        <f t="shared" ref="AD14:AD20" si="4">ROUND(IF(AQ14="7",BH14,0),2)</f>
        <v>0</v>
      </c>
      <c r="AE14" s="53">
        <f t="shared" ref="AE14:AE20" si="5">ROUND(IF(AQ14="7",BI14,0),2)</f>
        <v>0</v>
      </c>
      <c r="AF14" s="53">
        <f t="shared" ref="AF14:AF20" si="6">ROUND(IF(AQ14="2",BH14,0),2)</f>
        <v>0</v>
      </c>
      <c r="AG14" s="53">
        <f t="shared" ref="AG14:AG20" si="7">ROUND(IF(AQ14="2",BI14,0),2)</f>
        <v>0</v>
      </c>
      <c r="AH14" s="53">
        <f t="shared" ref="AH14:AH20" si="8">ROUND(IF(AQ14="0",BJ14,0),2)</f>
        <v>0</v>
      </c>
      <c r="AI14" s="36" t="s">
        <v>10</v>
      </c>
      <c r="AJ14" s="53">
        <f t="shared" ref="AJ14:AJ20" si="9">IF(AN14=0,H14,0)</f>
        <v>0</v>
      </c>
      <c r="AK14" s="53">
        <f t="shared" ref="AK14:AK20" si="10">IF(AN14=12,H14,0)</f>
        <v>0</v>
      </c>
      <c r="AL14" s="53">
        <f t="shared" ref="AL14:AL20" si="11">IF(AN14=21,H14,0)</f>
        <v>0</v>
      </c>
      <c r="AN14" s="53">
        <v>21</v>
      </c>
      <c r="AO14" s="53">
        <f>G14*0</f>
        <v>0</v>
      </c>
      <c r="AP14" s="53">
        <f>G14*(1-0)</f>
        <v>0</v>
      </c>
      <c r="AQ14" s="54" t="s">
        <v>110</v>
      </c>
      <c r="AV14" s="53">
        <f t="shared" ref="AV14:AV20" si="12">ROUND(AW14+AX14,2)</f>
        <v>0</v>
      </c>
      <c r="AW14" s="53">
        <f t="shared" ref="AW14:AW20" si="13">ROUND(F14*AO14,2)</f>
        <v>0</v>
      </c>
      <c r="AX14" s="53">
        <f t="shared" ref="AX14:AX20" si="14">ROUND(F14*AP14,2)</f>
        <v>0</v>
      </c>
      <c r="AY14" s="54" t="s">
        <v>114</v>
      </c>
      <c r="AZ14" s="54" t="s">
        <v>115</v>
      </c>
      <c r="BA14" s="36" t="s">
        <v>116</v>
      </c>
      <c r="BC14" s="53">
        <f t="shared" ref="BC14:BC20" si="15">AW14+AX14</f>
        <v>0</v>
      </c>
      <c r="BD14" s="53">
        <f t="shared" ref="BD14:BD20" si="16">G14/(100-BE14)*100</f>
        <v>0</v>
      </c>
      <c r="BE14" s="53">
        <v>0</v>
      </c>
      <c r="BF14" s="53">
        <f>14</f>
        <v>14</v>
      </c>
      <c r="BH14" s="53">
        <f t="shared" ref="BH14:BH20" si="17">F14*AO14</f>
        <v>0</v>
      </c>
      <c r="BI14" s="53">
        <f t="shared" ref="BI14:BI20" si="18">F14*AP14</f>
        <v>0</v>
      </c>
      <c r="BJ14" s="53">
        <f t="shared" ref="BJ14:BJ20" si="19">F14*G14</f>
        <v>0</v>
      </c>
      <c r="BK14" s="54" t="s">
        <v>117</v>
      </c>
      <c r="BL14" s="53">
        <v>11</v>
      </c>
      <c r="BW14" s="53">
        <v>21</v>
      </c>
      <c r="BX14" s="3" t="s">
        <v>112</v>
      </c>
    </row>
    <row r="15" spans="1:76" ht="25" customHeight="1" x14ac:dyDescent="0.35">
      <c r="A15" s="1" t="s">
        <v>118</v>
      </c>
      <c r="B15" s="2" t="s">
        <v>119</v>
      </c>
      <c r="C15" s="91" t="s">
        <v>120</v>
      </c>
      <c r="D15" s="88"/>
      <c r="E15" s="2" t="s">
        <v>121</v>
      </c>
      <c r="F15" s="53">
        <v>10</v>
      </c>
      <c r="G15" s="77">
        <v>0</v>
      </c>
      <c r="H15" s="53">
        <f t="shared" si="0"/>
        <v>0</v>
      </c>
      <c r="I15" s="79" t="s">
        <v>1688</v>
      </c>
      <c r="J15" s="49"/>
      <c r="Z15" s="53">
        <f t="shared" si="1"/>
        <v>0</v>
      </c>
      <c r="AB15" s="53">
        <f t="shared" si="2"/>
        <v>0</v>
      </c>
      <c r="AC15" s="53">
        <f t="shared" si="3"/>
        <v>0</v>
      </c>
      <c r="AD15" s="53">
        <f t="shared" si="4"/>
        <v>0</v>
      </c>
      <c r="AE15" s="53">
        <f t="shared" si="5"/>
        <v>0</v>
      </c>
      <c r="AF15" s="53">
        <f t="shared" si="6"/>
        <v>0</v>
      </c>
      <c r="AG15" s="53">
        <f t="shared" si="7"/>
        <v>0</v>
      </c>
      <c r="AH15" s="53">
        <f t="shared" si="8"/>
        <v>0</v>
      </c>
      <c r="AI15" s="36" t="s">
        <v>10</v>
      </c>
      <c r="AJ15" s="53">
        <f t="shared" si="9"/>
        <v>0</v>
      </c>
      <c r="AK15" s="53">
        <f t="shared" si="10"/>
        <v>0</v>
      </c>
      <c r="AL15" s="53">
        <f t="shared" si="11"/>
        <v>0</v>
      </c>
      <c r="AN15" s="53">
        <v>21</v>
      </c>
      <c r="AO15" s="53">
        <f>G15*0.005390979</f>
        <v>0</v>
      </c>
      <c r="AP15" s="53">
        <f>G15*(1-0.005390979)</f>
        <v>0</v>
      </c>
      <c r="AQ15" s="54" t="s">
        <v>110</v>
      </c>
      <c r="AV15" s="53">
        <f t="shared" si="12"/>
        <v>0</v>
      </c>
      <c r="AW15" s="53">
        <f t="shared" si="13"/>
        <v>0</v>
      </c>
      <c r="AX15" s="53">
        <f t="shared" si="14"/>
        <v>0</v>
      </c>
      <c r="AY15" s="54" t="s">
        <v>114</v>
      </c>
      <c r="AZ15" s="54" t="s">
        <v>115</v>
      </c>
      <c r="BA15" s="36" t="s">
        <v>116</v>
      </c>
      <c r="BC15" s="53">
        <f t="shared" si="15"/>
        <v>0</v>
      </c>
      <c r="BD15" s="53">
        <f t="shared" si="16"/>
        <v>0</v>
      </c>
      <c r="BE15" s="53">
        <v>0</v>
      </c>
      <c r="BF15" s="53">
        <f>15</f>
        <v>15</v>
      </c>
      <c r="BH15" s="53">
        <f t="shared" si="17"/>
        <v>0</v>
      </c>
      <c r="BI15" s="53">
        <f t="shared" si="18"/>
        <v>0</v>
      </c>
      <c r="BJ15" s="53">
        <f t="shared" si="19"/>
        <v>0</v>
      </c>
      <c r="BK15" s="54" t="s">
        <v>117</v>
      </c>
      <c r="BL15" s="53">
        <v>11</v>
      </c>
      <c r="BW15" s="53">
        <v>21</v>
      </c>
      <c r="BX15" s="3" t="s">
        <v>120</v>
      </c>
    </row>
    <row r="16" spans="1:76" ht="25" customHeight="1" x14ac:dyDescent="0.35">
      <c r="A16" s="1" t="s">
        <v>122</v>
      </c>
      <c r="B16" s="2" t="s">
        <v>123</v>
      </c>
      <c r="C16" s="91" t="s">
        <v>124</v>
      </c>
      <c r="D16" s="88"/>
      <c r="E16" s="2" t="s">
        <v>121</v>
      </c>
      <c r="F16" s="53">
        <v>10</v>
      </c>
      <c r="G16" s="77">
        <v>0</v>
      </c>
      <c r="H16" s="53">
        <f t="shared" si="0"/>
        <v>0</v>
      </c>
      <c r="I16" s="79" t="s">
        <v>1688</v>
      </c>
      <c r="J16" s="49"/>
      <c r="Z16" s="53">
        <f t="shared" si="1"/>
        <v>0</v>
      </c>
      <c r="AB16" s="53">
        <f t="shared" si="2"/>
        <v>0</v>
      </c>
      <c r="AC16" s="53">
        <f t="shared" si="3"/>
        <v>0</v>
      </c>
      <c r="AD16" s="53">
        <f t="shared" si="4"/>
        <v>0</v>
      </c>
      <c r="AE16" s="53">
        <f t="shared" si="5"/>
        <v>0</v>
      </c>
      <c r="AF16" s="53">
        <f t="shared" si="6"/>
        <v>0</v>
      </c>
      <c r="AG16" s="53">
        <f t="shared" si="7"/>
        <v>0</v>
      </c>
      <c r="AH16" s="53">
        <f t="shared" si="8"/>
        <v>0</v>
      </c>
      <c r="AI16" s="36" t="s">
        <v>10</v>
      </c>
      <c r="AJ16" s="53">
        <f t="shared" si="9"/>
        <v>0</v>
      </c>
      <c r="AK16" s="53">
        <f t="shared" si="10"/>
        <v>0</v>
      </c>
      <c r="AL16" s="53">
        <f t="shared" si="11"/>
        <v>0</v>
      </c>
      <c r="AN16" s="53">
        <v>21</v>
      </c>
      <c r="AO16" s="53">
        <f>G16*0</f>
        <v>0</v>
      </c>
      <c r="AP16" s="53">
        <f>G16*(1-0)</f>
        <v>0</v>
      </c>
      <c r="AQ16" s="54" t="s">
        <v>110</v>
      </c>
      <c r="AV16" s="53">
        <f t="shared" si="12"/>
        <v>0</v>
      </c>
      <c r="AW16" s="53">
        <f t="shared" si="13"/>
        <v>0</v>
      </c>
      <c r="AX16" s="53">
        <f t="shared" si="14"/>
        <v>0</v>
      </c>
      <c r="AY16" s="54" t="s">
        <v>114</v>
      </c>
      <c r="AZ16" s="54" t="s">
        <v>115</v>
      </c>
      <c r="BA16" s="36" t="s">
        <v>116</v>
      </c>
      <c r="BC16" s="53">
        <f t="shared" si="15"/>
        <v>0</v>
      </c>
      <c r="BD16" s="53">
        <f t="shared" si="16"/>
        <v>0</v>
      </c>
      <c r="BE16" s="53">
        <v>0</v>
      </c>
      <c r="BF16" s="53">
        <f>16</f>
        <v>16</v>
      </c>
      <c r="BH16" s="53">
        <f t="shared" si="17"/>
        <v>0</v>
      </c>
      <c r="BI16" s="53">
        <f t="shared" si="18"/>
        <v>0</v>
      </c>
      <c r="BJ16" s="53">
        <f t="shared" si="19"/>
        <v>0</v>
      </c>
      <c r="BK16" s="54" t="s">
        <v>117</v>
      </c>
      <c r="BL16" s="53">
        <v>11</v>
      </c>
      <c r="BW16" s="53">
        <v>21</v>
      </c>
      <c r="BX16" s="3" t="s">
        <v>124</v>
      </c>
    </row>
    <row r="17" spans="1:76" ht="25" customHeight="1" x14ac:dyDescent="0.35">
      <c r="A17" s="1" t="s">
        <v>125</v>
      </c>
      <c r="B17" s="2" t="s">
        <v>126</v>
      </c>
      <c r="C17" s="91" t="s">
        <v>127</v>
      </c>
      <c r="D17" s="88"/>
      <c r="E17" s="2" t="s">
        <v>113</v>
      </c>
      <c r="F17" s="53">
        <v>14.4</v>
      </c>
      <c r="G17" s="77">
        <v>0</v>
      </c>
      <c r="H17" s="53">
        <f t="shared" si="0"/>
        <v>0</v>
      </c>
      <c r="I17" s="79" t="s">
        <v>1688</v>
      </c>
      <c r="J17" s="49"/>
      <c r="Z17" s="53">
        <f t="shared" si="1"/>
        <v>0</v>
      </c>
      <c r="AB17" s="53">
        <f t="shared" si="2"/>
        <v>0</v>
      </c>
      <c r="AC17" s="53">
        <f t="shared" si="3"/>
        <v>0</v>
      </c>
      <c r="AD17" s="53">
        <f t="shared" si="4"/>
        <v>0</v>
      </c>
      <c r="AE17" s="53">
        <f t="shared" si="5"/>
        <v>0</v>
      </c>
      <c r="AF17" s="53">
        <f t="shared" si="6"/>
        <v>0</v>
      </c>
      <c r="AG17" s="53">
        <f t="shared" si="7"/>
        <v>0</v>
      </c>
      <c r="AH17" s="53">
        <f t="shared" si="8"/>
        <v>0</v>
      </c>
      <c r="AI17" s="36" t="s">
        <v>10</v>
      </c>
      <c r="AJ17" s="53">
        <f t="shared" si="9"/>
        <v>0</v>
      </c>
      <c r="AK17" s="53">
        <f t="shared" si="10"/>
        <v>0</v>
      </c>
      <c r="AL17" s="53">
        <f t="shared" si="11"/>
        <v>0</v>
      </c>
      <c r="AN17" s="53">
        <v>21</v>
      </c>
      <c r="AO17" s="53">
        <f>G17*0</f>
        <v>0</v>
      </c>
      <c r="AP17" s="53">
        <f>G17*(1-0)</f>
        <v>0</v>
      </c>
      <c r="AQ17" s="54" t="s">
        <v>110</v>
      </c>
      <c r="AV17" s="53">
        <f t="shared" si="12"/>
        <v>0</v>
      </c>
      <c r="AW17" s="53">
        <f t="shared" si="13"/>
        <v>0</v>
      </c>
      <c r="AX17" s="53">
        <f t="shared" si="14"/>
        <v>0</v>
      </c>
      <c r="AY17" s="54" t="s">
        <v>114</v>
      </c>
      <c r="AZ17" s="54" t="s">
        <v>115</v>
      </c>
      <c r="BA17" s="36" t="s">
        <v>116</v>
      </c>
      <c r="BC17" s="53">
        <f t="shared" si="15"/>
        <v>0</v>
      </c>
      <c r="BD17" s="53">
        <f t="shared" si="16"/>
        <v>0</v>
      </c>
      <c r="BE17" s="53">
        <v>0</v>
      </c>
      <c r="BF17" s="53">
        <f>17</f>
        <v>17</v>
      </c>
      <c r="BH17" s="53">
        <f t="shared" si="17"/>
        <v>0</v>
      </c>
      <c r="BI17" s="53">
        <f t="shared" si="18"/>
        <v>0</v>
      </c>
      <c r="BJ17" s="53">
        <f t="shared" si="19"/>
        <v>0</v>
      </c>
      <c r="BK17" s="54" t="s">
        <v>117</v>
      </c>
      <c r="BL17" s="53">
        <v>11</v>
      </c>
      <c r="BW17" s="53">
        <v>21</v>
      </c>
      <c r="BX17" s="3" t="s">
        <v>127</v>
      </c>
    </row>
    <row r="18" spans="1:76" ht="25" customHeight="1" x14ac:dyDescent="0.35">
      <c r="A18" s="1" t="s">
        <v>128</v>
      </c>
      <c r="B18" s="2" t="s">
        <v>129</v>
      </c>
      <c r="C18" s="91" t="s">
        <v>130</v>
      </c>
      <c r="D18" s="88"/>
      <c r="E18" s="2" t="s">
        <v>113</v>
      </c>
      <c r="F18" s="53">
        <v>14.4</v>
      </c>
      <c r="G18" s="77">
        <v>0</v>
      </c>
      <c r="H18" s="53">
        <f t="shared" si="0"/>
        <v>0</v>
      </c>
      <c r="I18" s="79" t="s">
        <v>1688</v>
      </c>
      <c r="J18" s="49"/>
      <c r="Z18" s="53">
        <f t="shared" si="1"/>
        <v>0</v>
      </c>
      <c r="AB18" s="53">
        <f t="shared" si="2"/>
        <v>0</v>
      </c>
      <c r="AC18" s="53">
        <f t="shared" si="3"/>
        <v>0</v>
      </c>
      <c r="AD18" s="53">
        <f t="shared" si="4"/>
        <v>0</v>
      </c>
      <c r="AE18" s="53">
        <f t="shared" si="5"/>
        <v>0</v>
      </c>
      <c r="AF18" s="53">
        <f t="shared" si="6"/>
        <v>0</v>
      </c>
      <c r="AG18" s="53">
        <f t="shared" si="7"/>
        <v>0</v>
      </c>
      <c r="AH18" s="53">
        <f t="shared" si="8"/>
        <v>0</v>
      </c>
      <c r="AI18" s="36" t="s">
        <v>10</v>
      </c>
      <c r="AJ18" s="53">
        <f t="shared" si="9"/>
        <v>0</v>
      </c>
      <c r="AK18" s="53">
        <f t="shared" si="10"/>
        <v>0</v>
      </c>
      <c r="AL18" s="53">
        <f t="shared" si="11"/>
        <v>0</v>
      </c>
      <c r="AN18" s="53">
        <v>21</v>
      </c>
      <c r="AO18" s="53">
        <f>G18*0</f>
        <v>0</v>
      </c>
      <c r="AP18" s="53">
        <f>G18*(1-0)</f>
        <v>0</v>
      </c>
      <c r="AQ18" s="54" t="s">
        <v>110</v>
      </c>
      <c r="AV18" s="53">
        <f t="shared" si="12"/>
        <v>0</v>
      </c>
      <c r="AW18" s="53">
        <f t="shared" si="13"/>
        <v>0</v>
      </c>
      <c r="AX18" s="53">
        <f t="shared" si="14"/>
        <v>0</v>
      </c>
      <c r="AY18" s="54" t="s">
        <v>114</v>
      </c>
      <c r="AZ18" s="54" t="s">
        <v>115</v>
      </c>
      <c r="BA18" s="36" t="s">
        <v>116</v>
      </c>
      <c r="BC18" s="53">
        <f t="shared" si="15"/>
        <v>0</v>
      </c>
      <c r="BD18" s="53">
        <f t="shared" si="16"/>
        <v>0</v>
      </c>
      <c r="BE18" s="53">
        <v>0</v>
      </c>
      <c r="BF18" s="53">
        <f>18</f>
        <v>18</v>
      </c>
      <c r="BH18" s="53">
        <f t="shared" si="17"/>
        <v>0</v>
      </c>
      <c r="BI18" s="53">
        <f t="shared" si="18"/>
        <v>0</v>
      </c>
      <c r="BJ18" s="53">
        <f t="shared" si="19"/>
        <v>0</v>
      </c>
      <c r="BK18" s="54" t="s">
        <v>117</v>
      </c>
      <c r="BL18" s="53">
        <v>11</v>
      </c>
      <c r="BW18" s="53">
        <v>21</v>
      </c>
      <c r="BX18" s="3" t="s">
        <v>130</v>
      </c>
    </row>
    <row r="19" spans="1:76" ht="25" customHeight="1" x14ac:dyDescent="0.35">
      <c r="A19" s="1" t="s">
        <v>131</v>
      </c>
      <c r="B19" s="2" t="s">
        <v>132</v>
      </c>
      <c r="C19" s="91" t="s">
        <v>133</v>
      </c>
      <c r="D19" s="88"/>
      <c r="E19" s="2" t="s">
        <v>113</v>
      </c>
      <c r="F19" s="53">
        <v>14.4</v>
      </c>
      <c r="G19" s="77">
        <v>0</v>
      </c>
      <c r="H19" s="53">
        <f t="shared" si="0"/>
        <v>0</v>
      </c>
      <c r="I19" s="79" t="s">
        <v>1688</v>
      </c>
      <c r="J19" s="49"/>
      <c r="Z19" s="53">
        <f t="shared" si="1"/>
        <v>0</v>
      </c>
      <c r="AB19" s="53">
        <f t="shared" si="2"/>
        <v>0</v>
      </c>
      <c r="AC19" s="53">
        <f t="shared" si="3"/>
        <v>0</v>
      </c>
      <c r="AD19" s="53">
        <f t="shared" si="4"/>
        <v>0</v>
      </c>
      <c r="AE19" s="53">
        <f t="shared" si="5"/>
        <v>0</v>
      </c>
      <c r="AF19" s="53">
        <f t="shared" si="6"/>
        <v>0</v>
      </c>
      <c r="AG19" s="53">
        <f t="shared" si="7"/>
        <v>0</v>
      </c>
      <c r="AH19" s="53">
        <f t="shared" si="8"/>
        <v>0</v>
      </c>
      <c r="AI19" s="36" t="s">
        <v>10</v>
      </c>
      <c r="AJ19" s="53">
        <f t="shared" si="9"/>
        <v>0</v>
      </c>
      <c r="AK19" s="53">
        <f t="shared" si="10"/>
        <v>0</v>
      </c>
      <c r="AL19" s="53">
        <f t="shared" si="11"/>
        <v>0</v>
      </c>
      <c r="AN19" s="53">
        <v>21</v>
      </c>
      <c r="AO19" s="53">
        <f>G19*0</f>
        <v>0</v>
      </c>
      <c r="AP19" s="53">
        <f>G19*(1-0)</f>
        <v>0</v>
      </c>
      <c r="AQ19" s="54" t="s">
        <v>110</v>
      </c>
      <c r="AV19" s="53">
        <f t="shared" si="12"/>
        <v>0</v>
      </c>
      <c r="AW19" s="53">
        <f t="shared" si="13"/>
        <v>0</v>
      </c>
      <c r="AX19" s="53">
        <f t="shared" si="14"/>
        <v>0</v>
      </c>
      <c r="AY19" s="54" t="s">
        <v>114</v>
      </c>
      <c r="AZ19" s="54" t="s">
        <v>115</v>
      </c>
      <c r="BA19" s="36" t="s">
        <v>116</v>
      </c>
      <c r="BC19" s="53">
        <f t="shared" si="15"/>
        <v>0</v>
      </c>
      <c r="BD19" s="53">
        <f t="shared" si="16"/>
        <v>0</v>
      </c>
      <c r="BE19" s="53">
        <v>0</v>
      </c>
      <c r="BF19" s="53">
        <f>19</f>
        <v>19</v>
      </c>
      <c r="BH19" s="53">
        <f t="shared" si="17"/>
        <v>0</v>
      </c>
      <c r="BI19" s="53">
        <f t="shared" si="18"/>
        <v>0</v>
      </c>
      <c r="BJ19" s="53">
        <f t="shared" si="19"/>
        <v>0</v>
      </c>
      <c r="BK19" s="54" t="s">
        <v>117</v>
      </c>
      <c r="BL19" s="53">
        <v>11</v>
      </c>
      <c r="BW19" s="53">
        <v>21</v>
      </c>
      <c r="BX19" s="3" t="s">
        <v>133</v>
      </c>
    </row>
    <row r="20" spans="1:76" ht="25" customHeight="1" x14ac:dyDescent="0.35">
      <c r="A20" s="1" t="s">
        <v>134</v>
      </c>
      <c r="B20" s="2" t="s">
        <v>135</v>
      </c>
      <c r="C20" s="91" t="s">
        <v>136</v>
      </c>
      <c r="D20" s="88"/>
      <c r="E20" s="2" t="s">
        <v>137</v>
      </c>
      <c r="F20" s="53">
        <v>18</v>
      </c>
      <c r="G20" s="77">
        <v>0</v>
      </c>
      <c r="H20" s="53">
        <f t="shared" si="0"/>
        <v>0</v>
      </c>
      <c r="I20" s="79" t="s">
        <v>1688</v>
      </c>
      <c r="J20" s="49"/>
      <c r="Z20" s="53">
        <f t="shared" si="1"/>
        <v>0</v>
      </c>
      <c r="AB20" s="53">
        <f t="shared" si="2"/>
        <v>0</v>
      </c>
      <c r="AC20" s="53">
        <f t="shared" si="3"/>
        <v>0</v>
      </c>
      <c r="AD20" s="53">
        <f t="shared" si="4"/>
        <v>0</v>
      </c>
      <c r="AE20" s="53">
        <f t="shared" si="5"/>
        <v>0</v>
      </c>
      <c r="AF20" s="53">
        <f t="shared" si="6"/>
        <v>0</v>
      </c>
      <c r="AG20" s="53">
        <f t="shared" si="7"/>
        <v>0</v>
      </c>
      <c r="AH20" s="53">
        <f t="shared" si="8"/>
        <v>0</v>
      </c>
      <c r="AI20" s="36" t="s">
        <v>10</v>
      </c>
      <c r="AJ20" s="53">
        <f t="shared" si="9"/>
        <v>0</v>
      </c>
      <c r="AK20" s="53">
        <f t="shared" si="10"/>
        <v>0</v>
      </c>
      <c r="AL20" s="53">
        <f t="shared" si="11"/>
        <v>0</v>
      </c>
      <c r="AN20" s="53">
        <v>21</v>
      </c>
      <c r="AO20" s="53">
        <f>G20*0</f>
        <v>0</v>
      </c>
      <c r="AP20" s="53">
        <f>G20*(1-0)</f>
        <v>0</v>
      </c>
      <c r="AQ20" s="54" t="s">
        <v>110</v>
      </c>
      <c r="AV20" s="53">
        <f t="shared" si="12"/>
        <v>0</v>
      </c>
      <c r="AW20" s="53">
        <f t="shared" si="13"/>
        <v>0</v>
      </c>
      <c r="AX20" s="53">
        <f t="shared" si="14"/>
        <v>0</v>
      </c>
      <c r="AY20" s="54" t="s">
        <v>114</v>
      </c>
      <c r="AZ20" s="54" t="s">
        <v>115</v>
      </c>
      <c r="BA20" s="36" t="s">
        <v>116</v>
      </c>
      <c r="BC20" s="53">
        <f t="shared" si="15"/>
        <v>0</v>
      </c>
      <c r="BD20" s="53">
        <f t="shared" si="16"/>
        <v>0</v>
      </c>
      <c r="BE20" s="53">
        <v>0</v>
      </c>
      <c r="BF20" s="53">
        <f>20</f>
        <v>20</v>
      </c>
      <c r="BH20" s="53">
        <f t="shared" si="17"/>
        <v>0</v>
      </c>
      <c r="BI20" s="53">
        <f t="shared" si="18"/>
        <v>0</v>
      </c>
      <c r="BJ20" s="53">
        <f t="shared" si="19"/>
        <v>0</v>
      </c>
      <c r="BK20" s="54" t="s">
        <v>117</v>
      </c>
      <c r="BL20" s="53">
        <v>11</v>
      </c>
      <c r="BW20" s="53">
        <v>21</v>
      </c>
      <c r="BX20" s="3" t="s">
        <v>136</v>
      </c>
    </row>
    <row r="21" spans="1:76" ht="14.5" x14ac:dyDescent="0.35">
      <c r="A21" s="50" t="s">
        <v>10</v>
      </c>
      <c r="B21" s="51" t="s">
        <v>138</v>
      </c>
      <c r="C21" s="172" t="s">
        <v>139</v>
      </c>
      <c r="D21" s="173"/>
      <c r="E21" s="52" t="s">
        <v>75</v>
      </c>
      <c r="F21" s="52" t="s">
        <v>75</v>
      </c>
      <c r="G21" s="52" t="s">
        <v>75</v>
      </c>
      <c r="H21" s="28">
        <f>SUM(H22:H28)</f>
        <v>0</v>
      </c>
      <c r="I21" s="36" t="s">
        <v>10</v>
      </c>
      <c r="J21" s="49"/>
      <c r="AI21" s="36" t="s">
        <v>10</v>
      </c>
      <c r="AS21" s="28">
        <f>SUM(AJ22:AJ28)</f>
        <v>0</v>
      </c>
      <c r="AT21" s="28">
        <f>SUM(AK22:AK28)</f>
        <v>0</v>
      </c>
      <c r="AU21" s="28">
        <f>SUM(AL22:AL28)</f>
        <v>0</v>
      </c>
    </row>
    <row r="22" spans="1:76" ht="25" customHeight="1" x14ac:dyDescent="0.35">
      <c r="A22" s="1" t="s">
        <v>140</v>
      </c>
      <c r="B22" s="2" t="s">
        <v>141</v>
      </c>
      <c r="C22" s="91" t="s">
        <v>142</v>
      </c>
      <c r="D22" s="88"/>
      <c r="E22" s="2" t="s">
        <v>143</v>
      </c>
      <c r="F22" s="53">
        <v>42.33</v>
      </c>
      <c r="G22" s="77">
        <v>0</v>
      </c>
      <c r="H22" s="53">
        <f t="shared" ref="H22:H28" si="20">ROUND(F22*G22,2)</f>
        <v>0</v>
      </c>
      <c r="I22" s="79" t="s">
        <v>1688</v>
      </c>
      <c r="J22" s="49"/>
      <c r="Z22" s="53">
        <f t="shared" ref="Z22:Z28" si="21">ROUND(IF(AQ22="5",BJ22,0),2)</f>
        <v>0</v>
      </c>
      <c r="AB22" s="53">
        <f t="shared" ref="AB22:AB28" si="22">ROUND(IF(AQ22="1",BH22,0),2)</f>
        <v>0</v>
      </c>
      <c r="AC22" s="53">
        <f t="shared" ref="AC22:AC28" si="23">ROUND(IF(AQ22="1",BI22,0),2)</f>
        <v>0</v>
      </c>
      <c r="AD22" s="53">
        <f t="shared" ref="AD22:AD28" si="24">ROUND(IF(AQ22="7",BH22,0),2)</f>
        <v>0</v>
      </c>
      <c r="AE22" s="53">
        <f t="shared" ref="AE22:AE28" si="25">ROUND(IF(AQ22="7",BI22,0),2)</f>
        <v>0</v>
      </c>
      <c r="AF22" s="53">
        <f t="shared" ref="AF22:AF28" si="26">ROUND(IF(AQ22="2",BH22,0),2)</f>
        <v>0</v>
      </c>
      <c r="AG22" s="53">
        <f t="shared" ref="AG22:AG28" si="27">ROUND(IF(AQ22="2",BI22,0),2)</f>
        <v>0</v>
      </c>
      <c r="AH22" s="53">
        <f t="shared" ref="AH22:AH28" si="28">ROUND(IF(AQ22="0",BJ22,0),2)</f>
        <v>0</v>
      </c>
      <c r="AI22" s="36" t="s">
        <v>10</v>
      </c>
      <c r="AJ22" s="53">
        <f t="shared" ref="AJ22:AJ28" si="29">IF(AN22=0,H22,0)</f>
        <v>0</v>
      </c>
      <c r="AK22" s="53">
        <f t="shared" ref="AK22:AK28" si="30">IF(AN22=12,H22,0)</f>
        <v>0</v>
      </c>
      <c r="AL22" s="53">
        <f t="shared" ref="AL22:AL28" si="31">IF(AN22=21,H22,0)</f>
        <v>0</v>
      </c>
      <c r="AN22" s="53">
        <v>21</v>
      </c>
      <c r="AO22" s="53">
        <f t="shared" ref="AO22:AO28" si="32">G22*0</f>
        <v>0</v>
      </c>
      <c r="AP22" s="53">
        <f t="shared" ref="AP22:AP28" si="33">G22*(1-0)</f>
        <v>0</v>
      </c>
      <c r="AQ22" s="54" t="s">
        <v>110</v>
      </c>
      <c r="AV22" s="53">
        <f t="shared" ref="AV22:AV28" si="34">ROUND(AW22+AX22,2)</f>
        <v>0</v>
      </c>
      <c r="AW22" s="53">
        <f t="shared" ref="AW22:AW28" si="35">ROUND(F22*AO22,2)</f>
        <v>0</v>
      </c>
      <c r="AX22" s="53">
        <f t="shared" ref="AX22:AX28" si="36">ROUND(F22*AP22,2)</f>
        <v>0</v>
      </c>
      <c r="AY22" s="54" t="s">
        <v>144</v>
      </c>
      <c r="AZ22" s="54" t="s">
        <v>115</v>
      </c>
      <c r="BA22" s="36" t="s">
        <v>116</v>
      </c>
      <c r="BC22" s="53">
        <f t="shared" ref="BC22:BC28" si="37">AW22+AX22</f>
        <v>0</v>
      </c>
      <c r="BD22" s="53">
        <f t="shared" ref="BD22:BD28" si="38">G22/(100-BE22)*100</f>
        <v>0</v>
      </c>
      <c r="BE22" s="53">
        <v>0</v>
      </c>
      <c r="BF22" s="53">
        <f>22</f>
        <v>22</v>
      </c>
      <c r="BH22" s="53">
        <f t="shared" ref="BH22:BH28" si="39">F22*AO22</f>
        <v>0</v>
      </c>
      <c r="BI22" s="53">
        <f t="shared" ref="BI22:BI28" si="40">F22*AP22</f>
        <v>0</v>
      </c>
      <c r="BJ22" s="53">
        <f t="shared" ref="BJ22:BJ28" si="41">F22*G22</f>
        <v>0</v>
      </c>
      <c r="BK22" s="54" t="s">
        <v>117</v>
      </c>
      <c r="BL22" s="53">
        <v>13</v>
      </c>
      <c r="BW22" s="53">
        <v>21</v>
      </c>
      <c r="BX22" s="3" t="s">
        <v>142</v>
      </c>
    </row>
    <row r="23" spans="1:76" ht="25" customHeight="1" x14ac:dyDescent="0.35">
      <c r="A23" s="1" t="s">
        <v>145</v>
      </c>
      <c r="B23" s="2" t="s">
        <v>146</v>
      </c>
      <c r="C23" s="91" t="s">
        <v>147</v>
      </c>
      <c r="D23" s="88"/>
      <c r="E23" s="2" t="s">
        <v>143</v>
      </c>
      <c r="F23" s="53">
        <v>17.2</v>
      </c>
      <c r="G23" s="77">
        <v>0</v>
      </c>
      <c r="H23" s="53">
        <f t="shared" si="20"/>
        <v>0</v>
      </c>
      <c r="I23" s="79" t="s">
        <v>1688</v>
      </c>
      <c r="J23" s="49"/>
      <c r="Z23" s="53">
        <f t="shared" si="21"/>
        <v>0</v>
      </c>
      <c r="AB23" s="53">
        <f t="shared" si="22"/>
        <v>0</v>
      </c>
      <c r="AC23" s="53">
        <f t="shared" si="23"/>
        <v>0</v>
      </c>
      <c r="AD23" s="53">
        <f t="shared" si="24"/>
        <v>0</v>
      </c>
      <c r="AE23" s="53">
        <f t="shared" si="25"/>
        <v>0</v>
      </c>
      <c r="AF23" s="53">
        <f t="shared" si="26"/>
        <v>0</v>
      </c>
      <c r="AG23" s="53">
        <f t="shared" si="27"/>
        <v>0</v>
      </c>
      <c r="AH23" s="53">
        <f t="shared" si="28"/>
        <v>0</v>
      </c>
      <c r="AI23" s="36" t="s">
        <v>10</v>
      </c>
      <c r="AJ23" s="53">
        <f t="shared" si="29"/>
        <v>0</v>
      </c>
      <c r="AK23" s="53">
        <f t="shared" si="30"/>
        <v>0</v>
      </c>
      <c r="AL23" s="53">
        <f t="shared" si="31"/>
        <v>0</v>
      </c>
      <c r="AN23" s="53">
        <v>21</v>
      </c>
      <c r="AO23" s="53">
        <f t="shared" si="32"/>
        <v>0</v>
      </c>
      <c r="AP23" s="53">
        <f t="shared" si="33"/>
        <v>0</v>
      </c>
      <c r="AQ23" s="54" t="s">
        <v>110</v>
      </c>
      <c r="AV23" s="53">
        <f t="shared" si="34"/>
        <v>0</v>
      </c>
      <c r="AW23" s="53">
        <f t="shared" si="35"/>
        <v>0</v>
      </c>
      <c r="AX23" s="53">
        <f t="shared" si="36"/>
        <v>0</v>
      </c>
      <c r="AY23" s="54" t="s">
        <v>144</v>
      </c>
      <c r="AZ23" s="54" t="s">
        <v>115</v>
      </c>
      <c r="BA23" s="36" t="s">
        <v>116</v>
      </c>
      <c r="BC23" s="53">
        <f t="shared" si="37"/>
        <v>0</v>
      </c>
      <c r="BD23" s="53">
        <f t="shared" si="38"/>
        <v>0</v>
      </c>
      <c r="BE23" s="53">
        <v>0</v>
      </c>
      <c r="BF23" s="53">
        <f>23</f>
        <v>23</v>
      </c>
      <c r="BH23" s="53">
        <f t="shared" si="39"/>
        <v>0</v>
      </c>
      <c r="BI23" s="53">
        <f t="shared" si="40"/>
        <v>0</v>
      </c>
      <c r="BJ23" s="53">
        <f t="shared" si="41"/>
        <v>0</v>
      </c>
      <c r="BK23" s="54" t="s">
        <v>117</v>
      </c>
      <c r="BL23" s="53">
        <v>13</v>
      </c>
      <c r="BW23" s="53">
        <v>21</v>
      </c>
      <c r="BX23" s="3" t="s">
        <v>147</v>
      </c>
    </row>
    <row r="24" spans="1:76" ht="25" customHeight="1" x14ac:dyDescent="0.35">
      <c r="A24" s="1" t="s">
        <v>148</v>
      </c>
      <c r="B24" s="2" t="s">
        <v>149</v>
      </c>
      <c r="C24" s="91" t="s">
        <v>150</v>
      </c>
      <c r="D24" s="88"/>
      <c r="E24" s="2" t="s">
        <v>143</v>
      </c>
      <c r="F24" s="53">
        <v>69.34</v>
      </c>
      <c r="G24" s="77">
        <v>0</v>
      </c>
      <c r="H24" s="53">
        <f t="shared" si="20"/>
        <v>0</v>
      </c>
      <c r="I24" s="79" t="s">
        <v>1688</v>
      </c>
      <c r="J24" s="49"/>
      <c r="Z24" s="53">
        <f t="shared" si="21"/>
        <v>0</v>
      </c>
      <c r="AB24" s="53">
        <f t="shared" si="22"/>
        <v>0</v>
      </c>
      <c r="AC24" s="53">
        <f t="shared" si="23"/>
        <v>0</v>
      </c>
      <c r="AD24" s="53">
        <f t="shared" si="24"/>
        <v>0</v>
      </c>
      <c r="AE24" s="53">
        <f t="shared" si="25"/>
        <v>0</v>
      </c>
      <c r="AF24" s="53">
        <f t="shared" si="26"/>
        <v>0</v>
      </c>
      <c r="AG24" s="53">
        <f t="shared" si="27"/>
        <v>0</v>
      </c>
      <c r="AH24" s="53">
        <f t="shared" si="28"/>
        <v>0</v>
      </c>
      <c r="AI24" s="36" t="s">
        <v>10</v>
      </c>
      <c r="AJ24" s="53">
        <f t="shared" si="29"/>
        <v>0</v>
      </c>
      <c r="AK24" s="53">
        <f t="shared" si="30"/>
        <v>0</v>
      </c>
      <c r="AL24" s="53">
        <f t="shared" si="31"/>
        <v>0</v>
      </c>
      <c r="AN24" s="53">
        <v>21</v>
      </c>
      <c r="AO24" s="53">
        <f t="shared" si="32"/>
        <v>0</v>
      </c>
      <c r="AP24" s="53">
        <f t="shared" si="33"/>
        <v>0</v>
      </c>
      <c r="AQ24" s="54" t="s">
        <v>110</v>
      </c>
      <c r="AV24" s="53">
        <f t="shared" si="34"/>
        <v>0</v>
      </c>
      <c r="AW24" s="53">
        <f t="shared" si="35"/>
        <v>0</v>
      </c>
      <c r="AX24" s="53">
        <f t="shared" si="36"/>
        <v>0</v>
      </c>
      <c r="AY24" s="54" t="s">
        <v>144</v>
      </c>
      <c r="AZ24" s="54" t="s">
        <v>115</v>
      </c>
      <c r="BA24" s="36" t="s">
        <v>116</v>
      </c>
      <c r="BC24" s="53">
        <f t="shared" si="37"/>
        <v>0</v>
      </c>
      <c r="BD24" s="53">
        <f t="shared" si="38"/>
        <v>0</v>
      </c>
      <c r="BE24" s="53">
        <v>0</v>
      </c>
      <c r="BF24" s="53">
        <f>24</f>
        <v>24</v>
      </c>
      <c r="BH24" s="53">
        <f t="shared" si="39"/>
        <v>0</v>
      </c>
      <c r="BI24" s="53">
        <f t="shared" si="40"/>
        <v>0</v>
      </c>
      <c r="BJ24" s="53">
        <f t="shared" si="41"/>
        <v>0</v>
      </c>
      <c r="BK24" s="54" t="s">
        <v>117</v>
      </c>
      <c r="BL24" s="53">
        <v>13</v>
      </c>
      <c r="BW24" s="53">
        <v>21</v>
      </c>
      <c r="BX24" s="3" t="s">
        <v>150</v>
      </c>
    </row>
    <row r="25" spans="1:76" ht="25" customHeight="1" x14ac:dyDescent="0.35">
      <c r="A25" s="1" t="s">
        <v>108</v>
      </c>
      <c r="B25" s="2" t="s">
        <v>151</v>
      </c>
      <c r="C25" s="91" t="s">
        <v>152</v>
      </c>
      <c r="D25" s="88"/>
      <c r="E25" s="2" t="s">
        <v>143</v>
      </c>
      <c r="F25" s="53">
        <v>34.78</v>
      </c>
      <c r="G25" s="77">
        <v>0</v>
      </c>
      <c r="H25" s="53">
        <f t="shared" si="20"/>
        <v>0</v>
      </c>
      <c r="I25" s="79" t="s">
        <v>1688</v>
      </c>
      <c r="J25" s="49"/>
      <c r="Z25" s="53">
        <f t="shared" si="21"/>
        <v>0</v>
      </c>
      <c r="AB25" s="53">
        <f t="shared" si="22"/>
        <v>0</v>
      </c>
      <c r="AC25" s="53">
        <f t="shared" si="23"/>
        <v>0</v>
      </c>
      <c r="AD25" s="53">
        <f t="shared" si="24"/>
        <v>0</v>
      </c>
      <c r="AE25" s="53">
        <f t="shared" si="25"/>
        <v>0</v>
      </c>
      <c r="AF25" s="53">
        <f t="shared" si="26"/>
        <v>0</v>
      </c>
      <c r="AG25" s="53">
        <f t="shared" si="27"/>
        <v>0</v>
      </c>
      <c r="AH25" s="53">
        <f t="shared" si="28"/>
        <v>0</v>
      </c>
      <c r="AI25" s="36" t="s">
        <v>10</v>
      </c>
      <c r="AJ25" s="53">
        <f t="shared" si="29"/>
        <v>0</v>
      </c>
      <c r="AK25" s="53">
        <f t="shared" si="30"/>
        <v>0</v>
      </c>
      <c r="AL25" s="53">
        <f t="shared" si="31"/>
        <v>0</v>
      </c>
      <c r="AN25" s="53">
        <v>21</v>
      </c>
      <c r="AO25" s="53">
        <f t="shared" si="32"/>
        <v>0</v>
      </c>
      <c r="AP25" s="53">
        <f t="shared" si="33"/>
        <v>0</v>
      </c>
      <c r="AQ25" s="54" t="s">
        <v>110</v>
      </c>
      <c r="AV25" s="53">
        <f t="shared" si="34"/>
        <v>0</v>
      </c>
      <c r="AW25" s="53">
        <f t="shared" si="35"/>
        <v>0</v>
      </c>
      <c r="AX25" s="53">
        <f t="shared" si="36"/>
        <v>0</v>
      </c>
      <c r="AY25" s="54" t="s">
        <v>144</v>
      </c>
      <c r="AZ25" s="54" t="s">
        <v>115</v>
      </c>
      <c r="BA25" s="36" t="s">
        <v>116</v>
      </c>
      <c r="BC25" s="53">
        <f t="shared" si="37"/>
        <v>0</v>
      </c>
      <c r="BD25" s="53">
        <f t="shared" si="38"/>
        <v>0</v>
      </c>
      <c r="BE25" s="53">
        <v>0</v>
      </c>
      <c r="BF25" s="53">
        <f>25</f>
        <v>25</v>
      </c>
      <c r="BH25" s="53">
        <f t="shared" si="39"/>
        <v>0</v>
      </c>
      <c r="BI25" s="53">
        <f t="shared" si="40"/>
        <v>0</v>
      </c>
      <c r="BJ25" s="53">
        <f t="shared" si="41"/>
        <v>0</v>
      </c>
      <c r="BK25" s="54" t="s">
        <v>117</v>
      </c>
      <c r="BL25" s="53">
        <v>13</v>
      </c>
      <c r="BW25" s="53">
        <v>21</v>
      </c>
      <c r="BX25" s="3" t="s">
        <v>152</v>
      </c>
    </row>
    <row r="26" spans="1:76" ht="25" customHeight="1" x14ac:dyDescent="0.35">
      <c r="A26" s="1" t="s">
        <v>153</v>
      </c>
      <c r="B26" s="2" t="s">
        <v>154</v>
      </c>
      <c r="C26" s="91" t="s">
        <v>155</v>
      </c>
      <c r="D26" s="88"/>
      <c r="E26" s="2" t="s">
        <v>143</v>
      </c>
      <c r="F26" s="53">
        <v>7.74</v>
      </c>
      <c r="G26" s="77">
        <v>0</v>
      </c>
      <c r="H26" s="53">
        <f t="shared" si="20"/>
        <v>0</v>
      </c>
      <c r="I26" s="79" t="s">
        <v>1688</v>
      </c>
      <c r="J26" s="49"/>
      <c r="Z26" s="53">
        <f t="shared" si="21"/>
        <v>0</v>
      </c>
      <c r="AB26" s="53">
        <f t="shared" si="22"/>
        <v>0</v>
      </c>
      <c r="AC26" s="53">
        <f t="shared" si="23"/>
        <v>0</v>
      </c>
      <c r="AD26" s="53">
        <f t="shared" si="24"/>
        <v>0</v>
      </c>
      <c r="AE26" s="53">
        <f t="shared" si="25"/>
        <v>0</v>
      </c>
      <c r="AF26" s="53">
        <f t="shared" si="26"/>
        <v>0</v>
      </c>
      <c r="AG26" s="53">
        <f t="shared" si="27"/>
        <v>0</v>
      </c>
      <c r="AH26" s="53">
        <f t="shared" si="28"/>
        <v>0</v>
      </c>
      <c r="AI26" s="36" t="s">
        <v>10</v>
      </c>
      <c r="AJ26" s="53">
        <f t="shared" si="29"/>
        <v>0</v>
      </c>
      <c r="AK26" s="53">
        <f t="shared" si="30"/>
        <v>0</v>
      </c>
      <c r="AL26" s="53">
        <f t="shared" si="31"/>
        <v>0</v>
      </c>
      <c r="AN26" s="53">
        <v>21</v>
      </c>
      <c r="AO26" s="53">
        <f t="shared" si="32"/>
        <v>0</v>
      </c>
      <c r="AP26" s="53">
        <f t="shared" si="33"/>
        <v>0</v>
      </c>
      <c r="AQ26" s="54" t="s">
        <v>110</v>
      </c>
      <c r="AV26" s="53">
        <f t="shared" si="34"/>
        <v>0</v>
      </c>
      <c r="AW26" s="53">
        <f t="shared" si="35"/>
        <v>0</v>
      </c>
      <c r="AX26" s="53">
        <f t="shared" si="36"/>
        <v>0</v>
      </c>
      <c r="AY26" s="54" t="s">
        <v>144</v>
      </c>
      <c r="AZ26" s="54" t="s">
        <v>115</v>
      </c>
      <c r="BA26" s="36" t="s">
        <v>116</v>
      </c>
      <c r="BC26" s="53">
        <f t="shared" si="37"/>
        <v>0</v>
      </c>
      <c r="BD26" s="53">
        <f t="shared" si="38"/>
        <v>0</v>
      </c>
      <c r="BE26" s="53">
        <v>0</v>
      </c>
      <c r="BF26" s="53">
        <f>26</f>
        <v>26</v>
      </c>
      <c r="BH26" s="53">
        <f t="shared" si="39"/>
        <v>0</v>
      </c>
      <c r="BI26" s="53">
        <f t="shared" si="40"/>
        <v>0</v>
      </c>
      <c r="BJ26" s="53">
        <f t="shared" si="41"/>
        <v>0</v>
      </c>
      <c r="BK26" s="54" t="s">
        <v>117</v>
      </c>
      <c r="BL26" s="53">
        <v>13</v>
      </c>
      <c r="BW26" s="53">
        <v>21</v>
      </c>
      <c r="BX26" s="3" t="s">
        <v>155</v>
      </c>
    </row>
    <row r="27" spans="1:76" ht="25" customHeight="1" x14ac:dyDescent="0.35">
      <c r="A27" s="1" t="s">
        <v>138</v>
      </c>
      <c r="B27" s="2" t="s">
        <v>156</v>
      </c>
      <c r="C27" s="91" t="s">
        <v>157</v>
      </c>
      <c r="D27" s="88"/>
      <c r="E27" s="2" t="s">
        <v>143</v>
      </c>
      <c r="F27" s="53">
        <v>0.65</v>
      </c>
      <c r="G27" s="77">
        <v>0</v>
      </c>
      <c r="H27" s="53">
        <f t="shared" si="20"/>
        <v>0</v>
      </c>
      <c r="I27" s="79" t="s">
        <v>1688</v>
      </c>
      <c r="J27" s="49"/>
      <c r="Z27" s="53">
        <f t="shared" si="21"/>
        <v>0</v>
      </c>
      <c r="AB27" s="53">
        <f t="shared" si="22"/>
        <v>0</v>
      </c>
      <c r="AC27" s="53">
        <f t="shared" si="23"/>
        <v>0</v>
      </c>
      <c r="AD27" s="53">
        <f t="shared" si="24"/>
        <v>0</v>
      </c>
      <c r="AE27" s="53">
        <f t="shared" si="25"/>
        <v>0</v>
      </c>
      <c r="AF27" s="53">
        <f t="shared" si="26"/>
        <v>0</v>
      </c>
      <c r="AG27" s="53">
        <f t="shared" si="27"/>
        <v>0</v>
      </c>
      <c r="AH27" s="53">
        <f t="shared" si="28"/>
        <v>0</v>
      </c>
      <c r="AI27" s="36" t="s">
        <v>10</v>
      </c>
      <c r="AJ27" s="53">
        <f t="shared" si="29"/>
        <v>0</v>
      </c>
      <c r="AK27" s="53">
        <f t="shared" si="30"/>
        <v>0</v>
      </c>
      <c r="AL27" s="53">
        <f t="shared" si="31"/>
        <v>0</v>
      </c>
      <c r="AN27" s="53">
        <v>21</v>
      </c>
      <c r="AO27" s="53">
        <f t="shared" si="32"/>
        <v>0</v>
      </c>
      <c r="AP27" s="53">
        <f t="shared" si="33"/>
        <v>0</v>
      </c>
      <c r="AQ27" s="54" t="s">
        <v>110</v>
      </c>
      <c r="AV27" s="53">
        <f t="shared" si="34"/>
        <v>0</v>
      </c>
      <c r="AW27" s="53">
        <f t="shared" si="35"/>
        <v>0</v>
      </c>
      <c r="AX27" s="53">
        <f t="shared" si="36"/>
        <v>0</v>
      </c>
      <c r="AY27" s="54" t="s">
        <v>144</v>
      </c>
      <c r="AZ27" s="54" t="s">
        <v>115</v>
      </c>
      <c r="BA27" s="36" t="s">
        <v>116</v>
      </c>
      <c r="BC27" s="53">
        <f t="shared" si="37"/>
        <v>0</v>
      </c>
      <c r="BD27" s="53">
        <f t="shared" si="38"/>
        <v>0</v>
      </c>
      <c r="BE27" s="53">
        <v>0</v>
      </c>
      <c r="BF27" s="53">
        <f>27</f>
        <v>27</v>
      </c>
      <c r="BH27" s="53">
        <f t="shared" si="39"/>
        <v>0</v>
      </c>
      <c r="BI27" s="53">
        <f t="shared" si="40"/>
        <v>0</v>
      </c>
      <c r="BJ27" s="53">
        <f t="shared" si="41"/>
        <v>0</v>
      </c>
      <c r="BK27" s="54" t="s">
        <v>117</v>
      </c>
      <c r="BL27" s="53">
        <v>13</v>
      </c>
      <c r="BW27" s="53">
        <v>21</v>
      </c>
      <c r="BX27" s="3" t="s">
        <v>157</v>
      </c>
    </row>
    <row r="28" spans="1:76" ht="25" customHeight="1" x14ac:dyDescent="0.35">
      <c r="A28" s="1" t="s">
        <v>158</v>
      </c>
      <c r="B28" s="2" t="s">
        <v>159</v>
      </c>
      <c r="C28" s="91" t="s">
        <v>160</v>
      </c>
      <c r="D28" s="88"/>
      <c r="E28" s="2" t="s">
        <v>143</v>
      </c>
      <c r="F28" s="53">
        <v>34.56</v>
      </c>
      <c r="G28" s="77">
        <v>0</v>
      </c>
      <c r="H28" s="53">
        <f t="shared" si="20"/>
        <v>0</v>
      </c>
      <c r="I28" s="79" t="s">
        <v>1688</v>
      </c>
      <c r="J28" s="49"/>
      <c r="Z28" s="53">
        <f t="shared" si="21"/>
        <v>0</v>
      </c>
      <c r="AB28" s="53">
        <f t="shared" si="22"/>
        <v>0</v>
      </c>
      <c r="AC28" s="53">
        <f t="shared" si="23"/>
        <v>0</v>
      </c>
      <c r="AD28" s="53">
        <f t="shared" si="24"/>
        <v>0</v>
      </c>
      <c r="AE28" s="53">
        <f t="shared" si="25"/>
        <v>0</v>
      </c>
      <c r="AF28" s="53">
        <f t="shared" si="26"/>
        <v>0</v>
      </c>
      <c r="AG28" s="53">
        <f t="shared" si="27"/>
        <v>0</v>
      </c>
      <c r="AH28" s="53">
        <f t="shared" si="28"/>
        <v>0</v>
      </c>
      <c r="AI28" s="36" t="s">
        <v>10</v>
      </c>
      <c r="AJ28" s="53">
        <f t="shared" si="29"/>
        <v>0</v>
      </c>
      <c r="AK28" s="53">
        <f t="shared" si="30"/>
        <v>0</v>
      </c>
      <c r="AL28" s="53">
        <f t="shared" si="31"/>
        <v>0</v>
      </c>
      <c r="AN28" s="53">
        <v>21</v>
      </c>
      <c r="AO28" s="53">
        <f t="shared" si="32"/>
        <v>0</v>
      </c>
      <c r="AP28" s="53">
        <f t="shared" si="33"/>
        <v>0</v>
      </c>
      <c r="AQ28" s="54" t="s">
        <v>110</v>
      </c>
      <c r="AV28" s="53">
        <f t="shared" si="34"/>
        <v>0</v>
      </c>
      <c r="AW28" s="53">
        <f t="shared" si="35"/>
        <v>0</v>
      </c>
      <c r="AX28" s="53">
        <f t="shared" si="36"/>
        <v>0</v>
      </c>
      <c r="AY28" s="54" t="s">
        <v>144</v>
      </c>
      <c r="AZ28" s="54" t="s">
        <v>115</v>
      </c>
      <c r="BA28" s="36" t="s">
        <v>116</v>
      </c>
      <c r="BC28" s="53">
        <f t="shared" si="37"/>
        <v>0</v>
      </c>
      <c r="BD28" s="53">
        <f t="shared" si="38"/>
        <v>0</v>
      </c>
      <c r="BE28" s="53">
        <v>0</v>
      </c>
      <c r="BF28" s="53">
        <f>28</f>
        <v>28</v>
      </c>
      <c r="BH28" s="53">
        <f t="shared" si="39"/>
        <v>0</v>
      </c>
      <c r="BI28" s="53">
        <f t="shared" si="40"/>
        <v>0</v>
      </c>
      <c r="BJ28" s="53">
        <f t="shared" si="41"/>
        <v>0</v>
      </c>
      <c r="BK28" s="54" t="s">
        <v>117</v>
      </c>
      <c r="BL28" s="53">
        <v>13</v>
      </c>
      <c r="BW28" s="53">
        <v>21</v>
      </c>
      <c r="BX28" s="3" t="s">
        <v>160</v>
      </c>
    </row>
    <row r="29" spans="1:76" ht="14.5" x14ac:dyDescent="0.35">
      <c r="A29" s="50" t="s">
        <v>10</v>
      </c>
      <c r="B29" s="51" t="s">
        <v>161</v>
      </c>
      <c r="C29" s="172" t="s">
        <v>162</v>
      </c>
      <c r="D29" s="173"/>
      <c r="E29" s="52" t="s">
        <v>75</v>
      </c>
      <c r="F29" s="52" t="s">
        <v>75</v>
      </c>
      <c r="G29" s="52" t="s">
        <v>75</v>
      </c>
      <c r="H29" s="28">
        <f>SUM(H30:H31)</f>
        <v>0</v>
      </c>
      <c r="I29" s="36" t="s">
        <v>10</v>
      </c>
      <c r="J29" s="49"/>
      <c r="AI29" s="36" t="s">
        <v>10</v>
      </c>
      <c r="AS29" s="28">
        <f>SUM(AJ30:AJ31)</f>
        <v>0</v>
      </c>
      <c r="AT29" s="28">
        <f>SUM(AK30:AK31)</f>
        <v>0</v>
      </c>
      <c r="AU29" s="28">
        <f>SUM(AL30:AL31)</f>
        <v>0</v>
      </c>
    </row>
    <row r="30" spans="1:76" ht="25" customHeight="1" x14ac:dyDescent="0.35">
      <c r="A30" s="1" t="s">
        <v>161</v>
      </c>
      <c r="B30" s="2" t="s">
        <v>163</v>
      </c>
      <c r="C30" s="91" t="s">
        <v>164</v>
      </c>
      <c r="D30" s="88"/>
      <c r="E30" s="2" t="s">
        <v>113</v>
      </c>
      <c r="F30" s="53">
        <v>23.4</v>
      </c>
      <c r="G30" s="77">
        <v>0</v>
      </c>
      <c r="H30" s="53">
        <f>ROUND(F30*G30,2)</f>
        <v>0</v>
      </c>
      <c r="I30" s="79" t="s">
        <v>1688</v>
      </c>
      <c r="J30" s="49"/>
      <c r="Z30" s="53">
        <f>ROUND(IF(AQ30="5",BJ30,0),2)</f>
        <v>0</v>
      </c>
      <c r="AB30" s="53">
        <f>ROUND(IF(AQ30="1",BH30,0),2)</f>
        <v>0</v>
      </c>
      <c r="AC30" s="53">
        <f>ROUND(IF(AQ30="1",BI30,0),2)</f>
        <v>0</v>
      </c>
      <c r="AD30" s="53">
        <f>ROUND(IF(AQ30="7",BH30,0),2)</f>
        <v>0</v>
      </c>
      <c r="AE30" s="53">
        <f>ROUND(IF(AQ30="7",BI30,0),2)</f>
        <v>0</v>
      </c>
      <c r="AF30" s="53">
        <f>ROUND(IF(AQ30="2",BH30,0),2)</f>
        <v>0</v>
      </c>
      <c r="AG30" s="53">
        <f>ROUND(IF(AQ30="2",BI30,0),2)</f>
        <v>0</v>
      </c>
      <c r="AH30" s="53">
        <f>ROUND(IF(AQ30="0",BJ30,0),2)</f>
        <v>0</v>
      </c>
      <c r="AI30" s="36" t="s">
        <v>10</v>
      </c>
      <c r="AJ30" s="53">
        <f>IF(AN30=0,H30,0)</f>
        <v>0</v>
      </c>
      <c r="AK30" s="53">
        <f>IF(AN30=12,H30,0)</f>
        <v>0</v>
      </c>
      <c r="AL30" s="53">
        <f>IF(AN30=21,H30,0)</f>
        <v>0</v>
      </c>
      <c r="AN30" s="53">
        <v>21</v>
      </c>
      <c r="AO30" s="53">
        <f>G30*0.159918744</f>
        <v>0</v>
      </c>
      <c r="AP30" s="53">
        <f>G30*(1-0.159918744)</f>
        <v>0</v>
      </c>
      <c r="AQ30" s="54" t="s">
        <v>110</v>
      </c>
      <c r="AV30" s="53">
        <f>ROUND(AW30+AX30,2)</f>
        <v>0</v>
      </c>
      <c r="AW30" s="53">
        <f>ROUND(F30*AO30,2)</f>
        <v>0</v>
      </c>
      <c r="AX30" s="53">
        <f>ROUND(F30*AP30,2)</f>
        <v>0</v>
      </c>
      <c r="AY30" s="54" t="s">
        <v>165</v>
      </c>
      <c r="AZ30" s="54" t="s">
        <v>115</v>
      </c>
      <c r="BA30" s="36" t="s">
        <v>116</v>
      </c>
      <c r="BC30" s="53">
        <f>AW30+AX30</f>
        <v>0</v>
      </c>
      <c r="BD30" s="53">
        <f>G30/(100-BE30)*100</f>
        <v>0</v>
      </c>
      <c r="BE30" s="53">
        <v>0</v>
      </c>
      <c r="BF30" s="53">
        <f>30</f>
        <v>30</v>
      </c>
      <c r="BH30" s="53">
        <f>F30*AO30</f>
        <v>0</v>
      </c>
      <c r="BI30" s="53">
        <f>F30*AP30</f>
        <v>0</v>
      </c>
      <c r="BJ30" s="53">
        <f>F30*G30</f>
        <v>0</v>
      </c>
      <c r="BK30" s="54" t="s">
        <v>117</v>
      </c>
      <c r="BL30" s="53">
        <v>15</v>
      </c>
      <c r="BW30" s="53">
        <v>21</v>
      </c>
      <c r="BX30" s="3" t="s">
        <v>164</v>
      </c>
    </row>
    <row r="31" spans="1:76" ht="25" customHeight="1" x14ac:dyDescent="0.35">
      <c r="A31" s="1" t="s">
        <v>166</v>
      </c>
      <c r="B31" s="2" t="s">
        <v>167</v>
      </c>
      <c r="C31" s="91" t="s">
        <v>168</v>
      </c>
      <c r="D31" s="88"/>
      <c r="E31" s="2" t="s">
        <v>113</v>
      </c>
      <c r="F31" s="53">
        <v>23.4</v>
      </c>
      <c r="G31" s="77">
        <v>0</v>
      </c>
      <c r="H31" s="53">
        <f>ROUND(F31*G31,2)</f>
        <v>0</v>
      </c>
      <c r="I31" s="79" t="s">
        <v>1688</v>
      </c>
      <c r="J31" s="49"/>
      <c r="Z31" s="53">
        <f>ROUND(IF(AQ31="5",BJ31,0),2)</f>
        <v>0</v>
      </c>
      <c r="AB31" s="53">
        <f>ROUND(IF(AQ31="1",BH31,0),2)</f>
        <v>0</v>
      </c>
      <c r="AC31" s="53">
        <f>ROUND(IF(AQ31="1",BI31,0),2)</f>
        <v>0</v>
      </c>
      <c r="AD31" s="53">
        <f>ROUND(IF(AQ31="7",BH31,0),2)</f>
        <v>0</v>
      </c>
      <c r="AE31" s="53">
        <f>ROUND(IF(AQ31="7",BI31,0),2)</f>
        <v>0</v>
      </c>
      <c r="AF31" s="53">
        <f>ROUND(IF(AQ31="2",BH31,0),2)</f>
        <v>0</v>
      </c>
      <c r="AG31" s="53">
        <f>ROUND(IF(AQ31="2",BI31,0),2)</f>
        <v>0</v>
      </c>
      <c r="AH31" s="53">
        <f>ROUND(IF(AQ31="0",BJ31,0),2)</f>
        <v>0</v>
      </c>
      <c r="AI31" s="36" t="s">
        <v>10</v>
      </c>
      <c r="AJ31" s="53">
        <f>IF(AN31=0,H31,0)</f>
        <v>0</v>
      </c>
      <c r="AK31" s="53">
        <f>IF(AN31=12,H31,0)</f>
        <v>0</v>
      </c>
      <c r="AL31" s="53">
        <f>IF(AN31=21,H31,0)</f>
        <v>0</v>
      </c>
      <c r="AN31" s="53">
        <v>21</v>
      </c>
      <c r="AO31" s="53">
        <f>G31*0</f>
        <v>0</v>
      </c>
      <c r="AP31" s="53">
        <f>G31*(1-0)</f>
        <v>0</v>
      </c>
      <c r="AQ31" s="54" t="s">
        <v>110</v>
      </c>
      <c r="AV31" s="53">
        <f>ROUND(AW31+AX31,2)</f>
        <v>0</v>
      </c>
      <c r="AW31" s="53">
        <f>ROUND(F31*AO31,2)</f>
        <v>0</v>
      </c>
      <c r="AX31" s="53">
        <f>ROUND(F31*AP31,2)</f>
        <v>0</v>
      </c>
      <c r="AY31" s="54" t="s">
        <v>165</v>
      </c>
      <c r="AZ31" s="54" t="s">
        <v>115</v>
      </c>
      <c r="BA31" s="36" t="s">
        <v>116</v>
      </c>
      <c r="BC31" s="53">
        <f>AW31+AX31</f>
        <v>0</v>
      </c>
      <c r="BD31" s="53">
        <f>G31/(100-BE31)*100</f>
        <v>0</v>
      </c>
      <c r="BE31" s="53">
        <v>0</v>
      </c>
      <c r="BF31" s="53">
        <f>31</f>
        <v>31</v>
      </c>
      <c r="BH31" s="53">
        <f>F31*AO31</f>
        <v>0</v>
      </c>
      <c r="BI31" s="53">
        <f>F31*AP31</f>
        <v>0</v>
      </c>
      <c r="BJ31" s="53">
        <f>F31*G31</f>
        <v>0</v>
      </c>
      <c r="BK31" s="54" t="s">
        <v>117</v>
      </c>
      <c r="BL31" s="53">
        <v>15</v>
      </c>
      <c r="BW31" s="53">
        <v>21</v>
      </c>
      <c r="BX31" s="3" t="s">
        <v>168</v>
      </c>
    </row>
    <row r="32" spans="1:76" ht="14.5" x14ac:dyDescent="0.35">
      <c r="A32" s="50" t="s">
        <v>10</v>
      </c>
      <c r="B32" s="51" t="s">
        <v>166</v>
      </c>
      <c r="C32" s="172" t="s">
        <v>169</v>
      </c>
      <c r="D32" s="173"/>
      <c r="E32" s="52" t="s">
        <v>75</v>
      </c>
      <c r="F32" s="52" t="s">
        <v>75</v>
      </c>
      <c r="G32" s="52" t="s">
        <v>75</v>
      </c>
      <c r="H32" s="28">
        <f>SUM(H33:H38)</f>
        <v>0</v>
      </c>
      <c r="I32" s="36" t="s">
        <v>10</v>
      </c>
      <c r="J32" s="49"/>
      <c r="AI32" s="36" t="s">
        <v>10</v>
      </c>
      <c r="AS32" s="28">
        <f>SUM(AJ33:AJ38)</f>
        <v>0</v>
      </c>
      <c r="AT32" s="28">
        <f>SUM(AK33:AK38)</f>
        <v>0</v>
      </c>
      <c r="AU32" s="28">
        <f>SUM(AL33:AL38)</f>
        <v>0</v>
      </c>
    </row>
    <row r="33" spans="1:76" ht="23" x14ac:dyDescent="0.35">
      <c r="A33" s="1" t="s">
        <v>170</v>
      </c>
      <c r="B33" s="2" t="s">
        <v>171</v>
      </c>
      <c r="C33" s="91" t="s">
        <v>172</v>
      </c>
      <c r="D33" s="88"/>
      <c r="E33" s="2" t="s">
        <v>143</v>
      </c>
      <c r="F33" s="53">
        <v>51.1</v>
      </c>
      <c r="G33" s="77">
        <v>0</v>
      </c>
      <c r="H33" s="53">
        <f t="shared" ref="H33:H38" si="42">ROUND(F33*G33,2)</f>
        <v>0</v>
      </c>
      <c r="I33" s="79" t="s">
        <v>1688</v>
      </c>
      <c r="J33" s="49"/>
      <c r="Z33" s="53">
        <f t="shared" ref="Z33:Z38" si="43">ROUND(IF(AQ33="5",BJ33,0),2)</f>
        <v>0</v>
      </c>
      <c r="AB33" s="53">
        <f t="shared" ref="AB33:AB38" si="44">ROUND(IF(AQ33="1",BH33,0),2)</f>
        <v>0</v>
      </c>
      <c r="AC33" s="53">
        <f t="shared" ref="AC33:AC38" si="45">ROUND(IF(AQ33="1",BI33,0),2)</f>
        <v>0</v>
      </c>
      <c r="AD33" s="53">
        <f t="shared" ref="AD33:AD38" si="46">ROUND(IF(AQ33="7",BH33,0),2)</f>
        <v>0</v>
      </c>
      <c r="AE33" s="53">
        <f t="shared" ref="AE33:AE38" si="47">ROUND(IF(AQ33="7",BI33,0),2)</f>
        <v>0</v>
      </c>
      <c r="AF33" s="53">
        <f t="shared" ref="AF33:AF38" si="48">ROUND(IF(AQ33="2",BH33,0),2)</f>
        <v>0</v>
      </c>
      <c r="AG33" s="53">
        <f t="shared" ref="AG33:AG38" si="49">ROUND(IF(AQ33="2",BI33,0),2)</f>
        <v>0</v>
      </c>
      <c r="AH33" s="53">
        <f t="shared" ref="AH33:AH38" si="50">ROUND(IF(AQ33="0",BJ33,0),2)</f>
        <v>0</v>
      </c>
      <c r="AI33" s="36" t="s">
        <v>10</v>
      </c>
      <c r="AJ33" s="53">
        <f t="shared" ref="AJ33:AJ38" si="51">IF(AN33=0,H33,0)</f>
        <v>0</v>
      </c>
      <c r="AK33" s="53">
        <f t="shared" ref="AK33:AK38" si="52">IF(AN33=12,H33,0)</f>
        <v>0</v>
      </c>
      <c r="AL33" s="53">
        <f t="shared" ref="AL33:AL38" si="53">IF(AN33=21,H33,0)</f>
        <v>0</v>
      </c>
      <c r="AN33" s="53">
        <v>21</v>
      </c>
      <c r="AO33" s="53">
        <f t="shared" ref="AO33:AO38" si="54">G33*0</f>
        <v>0</v>
      </c>
      <c r="AP33" s="53">
        <f t="shared" ref="AP33:AP38" si="55">G33*(1-0)</f>
        <v>0</v>
      </c>
      <c r="AQ33" s="54" t="s">
        <v>110</v>
      </c>
      <c r="AV33" s="53">
        <f t="shared" ref="AV33:AV38" si="56">ROUND(AW33+AX33,2)</f>
        <v>0</v>
      </c>
      <c r="AW33" s="53">
        <f t="shared" ref="AW33:AW38" si="57">ROUND(F33*AO33,2)</f>
        <v>0</v>
      </c>
      <c r="AX33" s="53">
        <f t="shared" ref="AX33:AX38" si="58">ROUND(F33*AP33,2)</f>
        <v>0</v>
      </c>
      <c r="AY33" s="54" t="s">
        <v>173</v>
      </c>
      <c r="AZ33" s="54" t="s">
        <v>115</v>
      </c>
      <c r="BA33" s="36" t="s">
        <v>116</v>
      </c>
      <c r="BC33" s="53">
        <f t="shared" ref="BC33:BC38" si="59">AW33+AX33</f>
        <v>0</v>
      </c>
      <c r="BD33" s="53">
        <f t="shared" ref="BD33:BD38" si="60">G33/(100-BE33)*100</f>
        <v>0</v>
      </c>
      <c r="BE33" s="53">
        <v>0</v>
      </c>
      <c r="BF33" s="53">
        <f>33</f>
        <v>33</v>
      </c>
      <c r="BH33" s="53">
        <f t="shared" ref="BH33:BH38" si="61">F33*AO33</f>
        <v>0</v>
      </c>
      <c r="BI33" s="53">
        <f t="shared" ref="BI33:BI38" si="62">F33*AP33</f>
        <v>0</v>
      </c>
      <c r="BJ33" s="53">
        <f t="shared" ref="BJ33:BJ38" si="63">F33*G33</f>
        <v>0</v>
      </c>
      <c r="BK33" s="54" t="s">
        <v>117</v>
      </c>
      <c r="BL33" s="53">
        <v>16</v>
      </c>
      <c r="BW33" s="53">
        <v>21</v>
      </c>
      <c r="BX33" s="3" t="s">
        <v>172</v>
      </c>
    </row>
    <row r="34" spans="1:76" ht="23" x14ac:dyDescent="0.35">
      <c r="A34" s="1" t="s">
        <v>174</v>
      </c>
      <c r="B34" s="2" t="s">
        <v>175</v>
      </c>
      <c r="C34" s="91" t="s">
        <v>176</v>
      </c>
      <c r="D34" s="88"/>
      <c r="E34" s="2" t="s">
        <v>143</v>
      </c>
      <c r="F34" s="53">
        <v>51.1</v>
      </c>
      <c r="G34" s="77">
        <v>0</v>
      </c>
      <c r="H34" s="53">
        <f t="shared" si="42"/>
        <v>0</v>
      </c>
      <c r="I34" s="79" t="s">
        <v>1688</v>
      </c>
      <c r="J34" s="49"/>
      <c r="Z34" s="53">
        <f t="shared" si="43"/>
        <v>0</v>
      </c>
      <c r="AB34" s="53">
        <f t="shared" si="44"/>
        <v>0</v>
      </c>
      <c r="AC34" s="53">
        <f t="shared" si="45"/>
        <v>0</v>
      </c>
      <c r="AD34" s="53">
        <f t="shared" si="46"/>
        <v>0</v>
      </c>
      <c r="AE34" s="53">
        <f t="shared" si="47"/>
        <v>0</v>
      </c>
      <c r="AF34" s="53">
        <f t="shared" si="48"/>
        <v>0</v>
      </c>
      <c r="AG34" s="53">
        <f t="shared" si="49"/>
        <v>0</v>
      </c>
      <c r="AH34" s="53">
        <f t="shared" si="50"/>
        <v>0</v>
      </c>
      <c r="AI34" s="36" t="s">
        <v>10</v>
      </c>
      <c r="AJ34" s="53">
        <f t="shared" si="51"/>
        <v>0</v>
      </c>
      <c r="AK34" s="53">
        <f t="shared" si="52"/>
        <v>0</v>
      </c>
      <c r="AL34" s="53">
        <f t="shared" si="53"/>
        <v>0</v>
      </c>
      <c r="AN34" s="53">
        <v>21</v>
      </c>
      <c r="AO34" s="53">
        <f t="shared" si="54"/>
        <v>0</v>
      </c>
      <c r="AP34" s="53">
        <f t="shared" si="55"/>
        <v>0</v>
      </c>
      <c r="AQ34" s="54" t="s">
        <v>110</v>
      </c>
      <c r="AV34" s="53">
        <f t="shared" si="56"/>
        <v>0</v>
      </c>
      <c r="AW34" s="53">
        <f t="shared" si="57"/>
        <v>0</v>
      </c>
      <c r="AX34" s="53">
        <f t="shared" si="58"/>
        <v>0</v>
      </c>
      <c r="AY34" s="54" t="s">
        <v>173</v>
      </c>
      <c r="AZ34" s="54" t="s">
        <v>115</v>
      </c>
      <c r="BA34" s="36" t="s">
        <v>116</v>
      </c>
      <c r="BC34" s="53">
        <f t="shared" si="59"/>
        <v>0</v>
      </c>
      <c r="BD34" s="53">
        <f t="shared" si="60"/>
        <v>0</v>
      </c>
      <c r="BE34" s="53">
        <v>0</v>
      </c>
      <c r="BF34" s="53">
        <f>34</f>
        <v>34</v>
      </c>
      <c r="BH34" s="53">
        <f t="shared" si="61"/>
        <v>0</v>
      </c>
      <c r="BI34" s="53">
        <f t="shared" si="62"/>
        <v>0</v>
      </c>
      <c r="BJ34" s="53">
        <f t="shared" si="63"/>
        <v>0</v>
      </c>
      <c r="BK34" s="54" t="s">
        <v>117</v>
      </c>
      <c r="BL34" s="53">
        <v>16</v>
      </c>
      <c r="BW34" s="53">
        <v>21</v>
      </c>
      <c r="BX34" s="3" t="s">
        <v>176</v>
      </c>
    </row>
    <row r="35" spans="1:76" ht="23" x14ac:dyDescent="0.35">
      <c r="A35" s="1" t="s">
        <v>177</v>
      </c>
      <c r="B35" s="2" t="s">
        <v>178</v>
      </c>
      <c r="C35" s="91" t="s">
        <v>179</v>
      </c>
      <c r="D35" s="88"/>
      <c r="E35" s="2" t="s">
        <v>143</v>
      </c>
      <c r="F35" s="53">
        <v>1277.5</v>
      </c>
      <c r="G35" s="77">
        <v>0</v>
      </c>
      <c r="H35" s="53">
        <f t="shared" si="42"/>
        <v>0</v>
      </c>
      <c r="I35" s="79" t="s">
        <v>1688</v>
      </c>
      <c r="J35" s="49"/>
      <c r="Z35" s="53">
        <f t="shared" si="43"/>
        <v>0</v>
      </c>
      <c r="AB35" s="53">
        <f t="shared" si="44"/>
        <v>0</v>
      </c>
      <c r="AC35" s="53">
        <f t="shared" si="45"/>
        <v>0</v>
      </c>
      <c r="AD35" s="53">
        <f t="shared" si="46"/>
        <v>0</v>
      </c>
      <c r="AE35" s="53">
        <f t="shared" si="47"/>
        <v>0</v>
      </c>
      <c r="AF35" s="53">
        <f t="shared" si="48"/>
        <v>0</v>
      </c>
      <c r="AG35" s="53">
        <f t="shared" si="49"/>
        <v>0</v>
      </c>
      <c r="AH35" s="53">
        <f t="shared" si="50"/>
        <v>0</v>
      </c>
      <c r="AI35" s="36" t="s">
        <v>10</v>
      </c>
      <c r="AJ35" s="53">
        <f t="shared" si="51"/>
        <v>0</v>
      </c>
      <c r="AK35" s="53">
        <f t="shared" si="52"/>
        <v>0</v>
      </c>
      <c r="AL35" s="53">
        <f t="shared" si="53"/>
        <v>0</v>
      </c>
      <c r="AN35" s="53">
        <v>21</v>
      </c>
      <c r="AO35" s="53">
        <f t="shared" si="54"/>
        <v>0</v>
      </c>
      <c r="AP35" s="53">
        <f t="shared" si="55"/>
        <v>0</v>
      </c>
      <c r="AQ35" s="54" t="s">
        <v>110</v>
      </c>
      <c r="AV35" s="53">
        <f t="shared" si="56"/>
        <v>0</v>
      </c>
      <c r="AW35" s="53">
        <f t="shared" si="57"/>
        <v>0</v>
      </c>
      <c r="AX35" s="53">
        <f t="shared" si="58"/>
        <v>0</v>
      </c>
      <c r="AY35" s="54" t="s">
        <v>173</v>
      </c>
      <c r="AZ35" s="54" t="s">
        <v>115</v>
      </c>
      <c r="BA35" s="36" t="s">
        <v>116</v>
      </c>
      <c r="BC35" s="53">
        <f t="shared" si="59"/>
        <v>0</v>
      </c>
      <c r="BD35" s="53">
        <f t="shared" si="60"/>
        <v>0</v>
      </c>
      <c r="BE35" s="53">
        <v>0</v>
      </c>
      <c r="BF35" s="53">
        <f>35</f>
        <v>35</v>
      </c>
      <c r="BH35" s="53">
        <f t="shared" si="61"/>
        <v>0</v>
      </c>
      <c r="BI35" s="53">
        <f t="shared" si="62"/>
        <v>0</v>
      </c>
      <c r="BJ35" s="53">
        <f t="shared" si="63"/>
        <v>0</v>
      </c>
      <c r="BK35" s="54" t="s">
        <v>117</v>
      </c>
      <c r="BL35" s="53">
        <v>16</v>
      </c>
      <c r="BW35" s="53">
        <v>21</v>
      </c>
      <c r="BX35" s="3" t="s">
        <v>179</v>
      </c>
    </row>
    <row r="36" spans="1:76" ht="23" x14ac:dyDescent="0.35">
      <c r="A36" s="1" t="s">
        <v>180</v>
      </c>
      <c r="B36" s="2" t="s">
        <v>181</v>
      </c>
      <c r="C36" s="91" t="s">
        <v>182</v>
      </c>
      <c r="D36" s="88"/>
      <c r="E36" s="2" t="s">
        <v>183</v>
      </c>
      <c r="F36" s="53">
        <v>71.540000000000006</v>
      </c>
      <c r="G36" s="77">
        <v>0</v>
      </c>
      <c r="H36" s="53">
        <f t="shared" si="42"/>
        <v>0</v>
      </c>
      <c r="I36" s="79" t="s">
        <v>1688</v>
      </c>
      <c r="J36" s="49"/>
      <c r="Z36" s="53">
        <f t="shared" si="43"/>
        <v>0</v>
      </c>
      <c r="AB36" s="53">
        <f t="shared" si="44"/>
        <v>0</v>
      </c>
      <c r="AC36" s="53">
        <f t="shared" si="45"/>
        <v>0</v>
      </c>
      <c r="AD36" s="53">
        <f t="shared" si="46"/>
        <v>0</v>
      </c>
      <c r="AE36" s="53">
        <f t="shared" si="47"/>
        <v>0</v>
      </c>
      <c r="AF36" s="53">
        <f t="shared" si="48"/>
        <v>0</v>
      </c>
      <c r="AG36" s="53">
        <f t="shared" si="49"/>
        <v>0</v>
      </c>
      <c r="AH36" s="53">
        <f t="shared" si="50"/>
        <v>0</v>
      </c>
      <c r="AI36" s="36" t="s">
        <v>10</v>
      </c>
      <c r="AJ36" s="53">
        <f t="shared" si="51"/>
        <v>0</v>
      </c>
      <c r="AK36" s="53">
        <f t="shared" si="52"/>
        <v>0</v>
      </c>
      <c r="AL36" s="53">
        <f t="shared" si="53"/>
        <v>0</v>
      </c>
      <c r="AN36" s="53">
        <v>21</v>
      </c>
      <c r="AO36" s="53">
        <f t="shared" si="54"/>
        <v>0</v>
      </c>
      <c r="AP36" s="53">
        <f t="shared" si="55"/>
        <v>0</v>
      </c>
      <c r="AQ36" s="54" t="s">
        <v>128</v>
      </c>
      <c r="AV36" s="53">
        <f t="shared" si="56"/>
        <v>0</v>
      </c>
      <c r="AW36" s="53">
        <f t="shared" si="57"/>
        <v>0</v>
      </c>
      <c r="AX36" s="53">
        <f t="shared" si="58"/>
        <v>0</v>
      </c>
      <c r="AY36" s="54" t="s">
        <v>173</v>
      </c>
      <c r="AZ36" s="54" t="s">
        <v>115</v>
      </c>
      <c r="BA36" s="36" t="s">
        <v>116</v>
      </c>
      <c r="BC36" s="53">
        <f t="shared" si="59"/>
        <v>0</v>
      </c>
      <c r="BD36" s="53">
        <f t="shared" si="60"/>
        <v>0</v>
      </c>
      <c r="BE36" s="53">
        <v>0</v>
      </c>
      <c r="BF36" s="53">
        <f>36</f>
        <v>36</v>
      </c>
      <c r="BH36" s="53">
        <f t="shared" si="61"/>
        <v>0</v>
      </c>
      <c r="BI36" s="53">
        <f t="shared" si="62"/>
        <v>0</v>
      </c>
      <c r="BJ36" s="53">
        <f t="shared" si="63"/>
        <v>0</v>
      </c>
      <c r="BK36" s="54" t="s">
        <v>117</v>
      </c>
      <c r="BL36" s="53">
        <v>16</v>
      </c>
      <c r="BW36" s="53">
        <v>21</v>
      </c>
      <c r="BX36" s="3" t="s">
        <v>182</v>
      </c>
    </row>
    <row r="37" spans="1:76" ht="23" x14ac:dyDescent="0.35">
      <c r="A37" s="1" t="s">
        <v>184</v>
      </c>
      <c r="B37" s="2" t="s">
        <v>185</v>
      </c>
      <c r="C37" s="91" t="s">
        <v>186</v>
      </c>
      <c r="D37" s="88"/>
      <c r="E37" s="2" t="s">
        <v>121</v>
      </c>
      <c r="F37" s="53">
        <v>10</v>
      </c>
      <c r="G37" s="77">
        <v>0</v>
      </c>
      <c r="H37" s="53">
        <f t="shared" si="42"/>
        <v>0</v>
      </c>
      <c r="I37" s="79" t="s">
        <v>1688</v>
      </c>
      <c r="J37" s="49"/>
      <c r="Z37" s="53">
        <f t="shared" si="43"/>
        <v>0</v>
      </c>
      <c r="AB37" s="53">
        <f t="shared" si="44"/>
        <v>0</v>
      </c>
      <c r="AC37" s="53">
        <f t="shared" si="45"/>
        <v>0</v>
      </c>
      <c r="AD37" s="53">
        <f t="shared" si="46"/>
        <v>0</v>
      </c>
      <c r="AE37" s="53">
        <f t="shared" si="47"/>
        <v>0</v>
      </c>
      <c r="AF37" s="53">
        <f t="shared" si="48"/>
        <v>0</v>
      </c>
      <c r="AG37" s="53">
        <f t="shared" si="49"/>
        <v>0</v>
      </c>
      <c r="AH37" s="53">
        <f t="shared" si="50"/>
        <v>0</v>
      </c>
      <c r="AI37" s="36" t="s">
        <v>10</v>
      </c>
      <c r="AJ37" s="53">
        <f t="shared" si="51"/>
        <v>0</v>
      </c>
      <c r="AK37" s="53">
        <f t="shared" si="52"/>
        <v>0</v>
      </c>
      <c r="AL37" s="53">
        <f t="shared" si="53"/>
        <v>0</v>
      </c>
      <c r="AN37" s="53">
        <v>21</v>
      </c>
      <c r="AO37" s="53">
        <f t="shared" si="54"/>
        <v>0</v>
      </c>
      <c r="AP37" s="53">
        <f t="shared" si="55"/>
        <v>0</v>
      </c>
      <c r="AQ37" s="54" t="s">
        <v>110</v>
      </c>
      <c r="AV37" s="53">
        <f t="shared" si="56"/>
        <v>0</v>
      </c>
      <c r="AW37" s="53">
        <f t="shared" si="57"/>
        <v>0</v>
      </c>
      <c r="AX37" s="53">
        <f t="shared" si="58"/>
        <v>0</v>
      </c>
      <c r="AY37" s="54" t="s">
        <v>173</v>
      </c>
      <c r="AZ37" s="54" t="s">
        <v>115</v>
      </c>
      <c r="BA37" s="36" t="s">
        <v>116</v>
      </c>
      <c r="BC37" s="53">
        <f t="shared" si="59"/>
        <v>0</v>
      </c>
      <c r="BD37" s="53">
        <f t="shared" si="60"/>
        <v>0</v>
      </c>
      <c r="BE37" s="53">
        <v>0</v>
      </c>
      <c r="BF37" s="53">
        <f>37</f>
        <v>37</v>
      </c>
      <c r="BH37" s="53">
        <f t="shared" si="61"/>
        <v>0</v>
      </c>
      <c r="BI37" s="53">
        <f t="shared" si="62"/>
        <v>0</v>
      </c>
      <c r="BJ37" s="53">
        <f t="shared" si="63"/>
        <v>0</v>
      </c>
      <c r="BK37" s="54" t="s">
        <v>117</v>
      </c>
      <c r="BL37" s="53">
        <v>16</v>
      </c>
      <c r="BW37" s="53">
        <v>21</v>
      </c>
      <c r="BX37" s="3" t="s">
        <v>186</v>
      </c>
    </row>
    <row r="38" spans="1:76" ht="23" x14ac:dyDescent="0.35">
      <c r="A38" s="1" t="s">
        <v>187</v>
      </c>
      <c r="B38" s="2" t="s">
        <v>188</v>
      </c>
      <c r="C38" s="91" t="s">
        <v>189</v>
      </c>
      <c r="D38" s="88"/>
      <c r="E38" s="2" t="s">
        <v>121</v>
      </c>
      <c r="F38" s="53">
        <v>10</v>
      </c>
      <c r="G38" s="77">
        <v>0</v>
      </c>
      <c r="H38" s="53">
        <f t="shared" si="42"/>
        <v>0</v>
      </c>
      <c r="I38" s="79" t="s">
        <v>1688</v>
      </c>
      <c r="J38" s="49"/>
      <c r="Z38" s="53">
        <f t="shared" si="43"/>
        <v>0</v>
      </c>
      <c r="AB38" s="53">
        <f t="shared" si="44"/>
        <v>0</v>
      </c>
      <c r="AC38" s="53">
        <f t="shared" si="45"/>
        <v>0</v>
      </c>
      <c r="AD38" s="53">
        <f t="shared" si="46"/>
        <v>0</v>
      </c>
      <c r="AE38" s="53">
        <f t="shared" si="47"/>
        <v>0</v>
      </c>
      <c r="AF38" s="53">
        <f t="shared" si="48"/>
        <v>0</v>
      </c>
      <c r="AG38" s="53">
        <f t="shared" si="49"/>
        <v>0</v>
      </c>
      <c r="AH38" s="53">
        <f t="shared" si="50"/>
        <v>0</v>
      </c>
      <c r="AI38" s="36" t="s">
        <v>10</v>
      </c>
      <c r="AJ38" s="53">
        <f t="shared" si="51"/>
        <v>0</v>
      </c>
      <c r="AK38" s="53">
        <f t="shared" si="52"/>
        <v>0</v>
      </c>
      <c r="AL38" s="53">
        <f t="shared" si="53"/>
        <v>0</v>
      </c>
      <c r="AN38" s="53">
        <v>21</v>
      </c>
      <c r="AO38" s="53">
        <f t="shared" si="54"/>
        <v>0</v>
      </c>
      <c r="AP38" s="53">
        <f t="shared" si="55"/>
        <v>0</v>
      </c>
      <c r="AQ38" s="54" t="s">
        <v>110</v>
      </c>
      <c r="AV38" s="53">
        <f t="shared" si="56"/>
        <v>0</v>
      </c>
      <c r="AW38" s="53">
        <f t="shared" si="57"/>
        <v>0</v>
      </c>
      <c r="AX38" s="53">
        <f t="shared" si="58"/>
        <v>0</v>
      </c>
      <c r="AY38" s="54" t="s">
        <v>173</v>
      </c>
      <c r="AZ38" s="54" t="s">
        <v>115</v>
      </c>
      <c r="BA38" s="36" t="s">
        <v>116</v>
      </c>
      <c r="BC38" s="53">
        <f t="shared" si="59"/>
        <v>0</v>
      </c>
      <c r="BD38" s="53">
        <f t="shared" si="60"/>
        <v>0</v>
      </c>
      <c r="BE38" s="53">
        <v>0</v>
      </c>
      <c r="BF38" s="53">
        <f>38</f>
        <v>38</v>
      </c>
      <c r="BH38" s="53">
        <f t="shared" si="61"/>
        <v>0</v>
      </c>
      <c r="BI38" s="53">
        <f t="shared" si="62"/>
        <v>0</v>
      </c>
      <c r="BJ38" s="53">
        <f t="shared" si="63"/>
        <v>0</v>
      </c>
      <c r="BK38" s="54" t="s">
        <v>117</v>
      </c>
      <c r="BL38" s="53">
        <v>16</v>
      </c>
      <c r="BW38" s="53">
        <v>21</v>
      </c>
      <c r="BX38" s="3" t="s">
        <v>189</v>
      </c>
    </row>
    <row r="39" spans="1:76" ht="14.5" x14ac:dyDescent="0.35">
      <c r="A39" s="50" t="s">
        <v>10</v>
      </c>
      <c r="B39" s="51" t="s">
        <v>170</v>
      </c>
      <c r="C39" s="172" t="s">
        <v>190</v>
      </c>
      <c r="D39" s="173"/>
      <c r="E39" s="52" t="s">
        <v>75</v>
      </c>
      <c r="F39" s="52" t="s">
        <v>75</v>
      </c>
      <c r="G39" s="52" t="s">
        <v>75</v>
      </c>
      <c r="H39" s="28">
        <f>SUM(H40:H43)</f>
        <v>0</v>
      </c>
      <c r="I39" s="36" t="s">
        <v>10</v>
      </c>
      <c r="J39" s="49"/>
      <c r="AI39" s="36" t="s">
        <v>10</v>
      </c>
      <c r="AS39" s="28">
        <f>SUM(AJ40:AJ43)</f>
        <v>0</v>
      </c>
      <c r="AT39" s="28">
        <f>SUM(AK40:AK43)</f>
        <v>0</v>
      </c>
      <c r="AU39" s="28">
        <f>SUM(AL40:AL43)</f>
        <v>0</v>
      </c>
    </row>
    <row r="40" spans="1:76" ht="23" x14ac:dyDescent="0.35">
      <c r="A40" s="1" t="s">
        <v>191</v>
      </c>
      <c r="B40" s="2" t="s">
        <v>192</v>
      </c>
      <c r="C40" s="91" t="s">
        <v>193</v>
      </c>
      <c r="D40" s="88"/>
      <c r="E40" s="2" t="s">
        <v>143</v>
      </c>
      <c r="F40" s="53">
        <v>10.98</v>
      </c>
      <c r="G40" s="77">
        <v>0</v>
      </c>
      <c r="H40" s="53">
        <f>ROUND(F40*G40,2)</f>
        <v>0</v>
      </c>
      <c r="I40" s="79" t="s">
        <v>1688</v>
      </c>
      <c r="J40" s="49"/>
      <c r="Z40" s="53">
        <f>ROUND(IF(AQ40="5",BJ40,0),2)</f>
        <v>0</v>
      </c>
      <c r="AB40" s="53">
        <f>ROUND(IF(AQ40="1",BH40,0),2)</f>
        <v>0</v>
      </c>
      <c r="AC40" s="53">
        <f>ROUND(IF(AQ40="1",BI40,0),2)</f>
        <v>0</v>
      </c>
      <c r="AD40" s="53">
        <f>ROUND(IF(AQ40="7",BH40,0),2)</f>
        <v>0</v>
      </c>
      <c r="AE40" s="53">
        <f>ROUND(IF(AQ40="7",BI40,0),2)</f>
        <v>0</v>
      </c>
      <c r="AF40" s="53">
        <f>ROUND(IF(AQ40="2",BH40,0),2)</f>
        <v>0</v>
      </c>
      <c r="AG40" s="53">
        <f>ROUND(IF(AQ40="2",BI40,0),2)</f>
        <v>0</v>
      </c>
      <c r="AH40" s="53">
        <f>ROUND(IF(AQ40="0",BJ40,0),2)</f>
        <v>0</v>
      </c>
      <c r="AI40" s="36" t="s">
        <v>10</v>
      </c>
      <c r="AJ40" s="53">
        <f>IF(AN40=0,H40,0)</f>
        <v>0</v>
      </c>
      <c r="AK40" s="53">
        <f>IF(AN40=12,H40,0)</f>
        <v>0</v>
      </c>
      <c r="AL40" s="53">
        <f>IF(AN40=21,H40,0)</f>
        <v>0</v>
      </c>
      <c r="AN40" s="53">
        <v>21</v>
      </c>
      <c r="AO40" s="53">
        <f>G40*0.310906223</f>
        <v>0</v>
      </c>
      <c r="AP40" s="53">
        <f>G40*(1-0.310906223)</f>
        <v>0</v>
      </c>
      <c r="AQ40" s="54" t="s">
        <v>110</v>
      </c>
      <c r="AV40" s="53">
        <f>ROUND(AW40+AX40,2)</f>
        <v>0</v>
      </c>
      <c r="AW40" s="53">
        <f>ROUND(F40*AO40,2)</f>
        <v>0</v>
      </c>
      <c r="AX40" s="53">
        <f>ROUND(F40*AP40,2)</f>
        <v>0</v>
      </c>
      <c r="AY40" s="54" t="s">
        <v>194</v>
      </c>
      <c r="AZ40" s="54" t="s">
        <v>115</v>
      </c>
      <c r="BA40" s="36" t="s">
        <v>116</v>
      </c>
      <c r="BC40" s="53">
        <f>AW40+AX40</f>
        <v>0</v>
      </c>
      <c r="BD40" s="53">
        <f>G40/(100-BE40)*100</f>
        <v>0</v>
      </c>
      <c r="BE40" s="53">
        <v>0</v>
      </c>
      <c r="BF40" s="53">
        <f>40</f>
        <v>40</v>
      </c>
      <c r="BH40" s="53">
        <f>F40*AO40</f>
        <v>0</v>
      </c>
      <c r="BI40" s="53">
        <f>F40*AP40</f>
        <v>0</v>
      </c>
      <c r="BJ40" s="53">
        <f>F40*G40</f>
        <v>0</v>
      </c>
      <c r="BK40" s="54" t="s">
        <v>117</v>
      </c>
      <c r="BL40" s="53">
        <v>17</v>
      </c>
      <c r="BW40" s="53">
        <v>21</v>
      </c>
      <c r="BX40" s="3" t="s">
        <v>193</v>
      </c>
    </row>
    <row r="41" spans="1:76" ht="23" x14ac:dyDescent="0.35">
      <c r="A41" s="1" t="s">
        <v>195</v>
      </c>
      <c r="B41" s="2" t="s">
        <v>196</v>
      </c>
      <c r="C41" s="91" t="s">
        <v>197</v>
      </c>
      <c r="D41" s="88"/>
      <c r="E41" s="2" t="s">
        <v>143</v>
      </c>
      <c r="F41" s="53">
        <v>15</v>
      </c>
      <c r="G41" s="77">
        <v>0</v>
      </c>
      <c r="H41" s="53">
        <f>ROUND(F41*G41,2)</f>
        <v>0</v>
      </c>
      <c r="I41" s="79" t="s">
        <v>1688</v>
      </c>
      <c r="J41" s="49"/>
      <c r="Z41" s="53">
        <f>ROUND(IF(AQ41="5",BJ41,0),2)</f>
        <v>0</v>
      </c>
      <c r="AB41" s="53">
        <f>ROUND(IF(AQ41="1",BH41,0),2)</f>
        <v>0</v>
      </c>
      <c r="AC41" s="53">
        <f>ROUND(IF(AQ41="1",BI41,0),2)</f>
        <v>0</v>
      </c>
      <c r="AD41" s="53">
        <f>ROUND(IF(AQ41="7",BH41,0),2)</f>
        <v>0</v>
      </c>
      <c r="AE41" s="53">
        <f>ROUND(IF(AQ41="7",BI41,0),2)</f>
        <v>0</v>
      </c>
      <c r="AF41" s="53">
        <f>ROUND(IF(AQ41="2",BH41,0),2)</f>
        <v>0</v>
      </c>
      <c r="AG41" s="53">
        <f>ROUND(IF(AQ41="2",BI41,0),2)</f>
        <v>0</v>
      </c>
      <c r="AH41" s="53">
        <f>ROUND(IF(AQ41="0",BJ41,0),2)</f>
        <v>0</v>
      </c>
      <c r="AI41" s="36" t="s">
        <v>10</v>
      </c>
      <c r="AJ41" s="53">
        <f>IF(AN41=0,H41,0)</f>
        <v>0</v>
      </c>
      <c r="AK41" s="53">
        <f>IF(AN41=12,H41,0)</f>
        <v>0</v>
      </c>
      <c r="AL41" s="53">
        <f>IF(AN41=21,H41,0)</f>
        <v>0</v>
      </c>
      <c r="AN41" s="53">
        <v>21</v>
      </c>
      <c r="AO41" s="53">
        <f>G41*0</f>
        <v>0</v>
      </c>
      <c r="AP41" s="53">
        <f>G41*(1-0)</f>
        <v>0</v>
      </c>
      <c r="AQ41" s="54" t="s">
        <v>110</v>
      </c>
      <c r="AV41" s="53">
        <f>ROUND(AW41+AX41,2)</f>
        <v>0</v>
      </c>
      <c r="AW41" s="53">
        <f>ROUND(F41*AO41,2)</f>
        <v>0</v>
      </c>
      <c r="AX41" s="53">
        <f>ROUND(F41*AP41,2)</f>
        <v>0</v>
      </c>
      <c r="AY41" s="54" t="s">
        <v>194</v>
      </c>
      <c r="AZ41" s="54" t="s">
        <v>115</v>
      </c>
      <c r="BA41" s="36" t="s">
        <v>116</v>
      </c>
      <c r="BC41" s="53">
        <f>AW41+AX41</f>
        <v>0</v>
      </c>
      <c r="BD41" s="53">
        <f>G41/(100-BE41)*100</f>
        <v>0</v>
      </c>
      <c r="BE41" s="53">
        <v>0</v>
      </c>
      <c r="BF41" s="53">
        <f>41</f>
        <v>41</v>
      </c>
      <c r="BH41" s="53">
        <f>F41*AO41</f>
        <v>0</v>
      </c>
      <c r="BI41" s="53">
        <f>F41*AP41</f>
        <v>0</v>
      </c>
      <c r="BJ41" s="53">
        <f>F41*G41</f>
        <v>0</v>
      </c>
      <c r="BK41" s="54" t="s">
        <v>117</v>
      </c>
      <c r="BL41" s="53">
        <v>17</v>
      </c>
      <c r="BW41" s="53">
        <v>21</v>
      </c>
      <c r="BX41" s="3" t="s">
        <v>197</v>
      </c>
    </row>
    <row r="42" spans="1:76" ht="23" x14ac:dyDescent="0.35">
      <c r="A42" s="1" t="s">
        <v>198</v>
      </c>
      <c r="B42" s="2" t="s">
        <v>199</v>
      </c>
      <c r="C42" s="91" t="s">
        <v>200</v>
      </c>
      <c r="D42" s="88"/>
      <c r="E42" s="2" t="s">
        <v>143</v>
      </c>
      <c r="F42" s="53">
        <v>6</v>
      </c>
      <c r="G42" s="77">
        <v>0</v>
      </c>
      <c r="H42" s="53">
        <f>ROUND(F42*G42,2)</f>
        <v>0</v>
      </c>
      <c r="I42" s="79" t="s">
        <v>1688</v>
      </c>
      <c r="J42" s="49"/>
      <c r="Z42" s="53">
        <f>ROUND(IF(AQ42="5",BJ42,0),2)</f>
        <v>0</v>
      </c>
      <c r="AB42" s="53">
        <f>ROUND(IF(AQ42="1",BH42,0),2)</f>
        <v>0</v>
      </c>
      <c r="AC42" s="53">
        <f>ROUND(IF(AQ42="1",BI42,0),2)</f>
        <v>0</v>
      </c>
      <c r="AD42" s="53">
        <f>ROUND(IF(AQ42="7",BH42,0),2)</f>
        <v>0</v>
      </c>
      <c r="AE42" s="53">
        <f>ROUND(IF(AQ42="7",BI42,0),2)</f>
        <v>0</v>
      </c>
      <c r="AF42" s="53">
        <f>ROUND(IF(AQ42="2",BH42,0),2)</f>
        <v>0</v>
      </c>
      <c r="AG42" s="53">
        <f>ROUND(IF(AQ42="2",BI42,0),2)</f>
        <v>0</v>
      </c>
      <c r="AH42" s="53">
        <f>ROUND(IF(AQ42="0",BJ42,0),2)</f>
        <v>0</v>
      </c>
      <c r="AI42" s="36" t="s">
        <v>10</v>
      </c>
      <c r="AJ42" s="53">
        <f>IF(AN42=0,H42,0)</f>
        <v>0</v>
      </c>
      <c r="AK42" s="53">
        <f>IF(AN42=12,H42,0)</f>
        <v>0</v>
      </c>
      <c r="AL42" s="53">
        <f>IF(AN42=21,H42,0)</f>
        <v>0</v>
      </c>
      <c r="AN42" s="53">
        <v>21</v>
      </c>
      <c r="AO42" s="53">
        <f>G42*0.365951113</f>
        <v>0</v>
      </c>
      <c r="AP42" s="53">
        <f>G42*(1-0.365951113)</f>
        <v>0</v>
      </c>
      <c r="AQ42" s="54" t="s">
        <v>110</v>
      </c>
      <c r="AV42" s="53">
        <f>ROUND(AW42+AX42,2)</f>
        <v>0</v>
      </c>
      <c r="AW42" s="53">
        <f>ROUND(F42*AO42,2)</f>
        <v>0</v>
      </c>
      <c r="AX42" s="53">
        <f>ROUND(F42*AP42,2)</f>
        <v>0</v>
      </c>
      <c r="AY42" s="54" t="s">
        <v>194</v>
      </c>
      <c r="AZ42" s="54" t="s">
        <v>115</v>
      </c>
      <c r="BA42" s="36" t="s">
        <v>116</v>
      </c>
      <c r="BC42" s="53">
        <f>AW42+AX42</f>
        <v>0</v>
      </c>
      <c r="BD42" s="53">
        <f>G42/(100-BE42)*100</f>
        <v>0</v>
      </c>
      <c r="BE42" s="53">
        <v>0</v>
      </c>
      <c r="BF42" s="53">
        <f>42</f>
        <v>42</v>
      </c>
      <c r="BH42" s="53">
        <f>F42*AO42</f>
        <v>0</v>
      </c>
      <c r="BI42" s="53">
        <f>F42*AP42</f>
        <v>0</v>
      </c>
      <c r="BJ42" s="53">
        <f>F42*G42</f>
        <v>0</v>
      </c>
      <c r="BK42" s="54" t="s">
        <v>117</v>
      </c>
      <c r="BL42" s="53">
        <v>17</v>
      </c>
      <c r="BW42" s="53">
        <v>21</v>
      </c>
      <c r="BX42" s="3" t="s">
        <v>200</v>
      </c>
    </row>
    <row r="43" spans="1:76" ht="23" x14ac:dyDescent="0.35">
      <c r="A43" s="1" t="s">
        <v>201</v>
      </c>
      <c r="B43" s="2" t="s">
        <v>202</v>
      </c>
      <c r="C43" s="91" t="s">
        <v>203</v>
      </c>
      <c r="D43" s="88"/>
      <c r="E43" s="2" t="s">
        <v>143</v>
      </c>
      <c r="F43" s="53">
        <v>33.18</v>
      </c>
      <c r="G43" s="77">
        <v>0</v>
      </c>
      <c r="H43" s="53">
        <f>ROUND(F43*G43,2)</f>
        <v>0</v>
      </c>
      <c r="I43" s="79" t="s">
        <v>1688</v>
      </c>
      <c r="J43" s="49"/>
      <c r="Z43" s="53">
        <f>ROUND(IF(AQ43="5",BJ43,0),2)</f>
        <v>0</v>
      </c>
      <c r="AB43" s="53">
        <f>ROUND(IF(AQ43="1",BH43,0),2)</f>
        <v>0</v>
      </c>
      <c r="AC43" s="53">
        <f>ROUND(IF(AQ43="1",BI43,0),2)</f>
        <v>0</v>
      </c>
      <c r="AD43" s="53">
        <f>ROUND(IF(AQ43="7",BH43,0),2)</f>
        <v>0</v>
      </c>
      <c r="AE43" s="53">
        <f>ROUND(IF(AQ43="7",BI43,0),2)</f>
        <v>0</v>
      </c>
      <c r="AF43" s="53">
        <f>ROUND(IF(AQ43="2",BH43,0),2)</f>
        <v>0</v>
      </c>
      <c r="AG43" s="53">
        <f>ROUND(IF(AQ43="2",BI43,0),2)</f>
        <v>0</v>
      </c>
      <c r="AH43" s="53">
        <f>ROUND(IF(AQ43="0",BJ43,0),2)</f>
        <v>0</v>
      </c>
      <c r="AI43" s="36" t="s">
        <v>10</v>
      </c>
      <c r="AJ43" s="53">
        <f>IF(AN43=0,H43,0)</f>
        <v>0</v>
      </c>
      <c r="AK43" s="53">
        <f>IF(AN43=12,H43,0)</f>
        <v>0</v>
      </c>
      <c r="AL43" s="53">
        <f>IF(AN43=21,H43,0)</f>
        <v>0</v>
      </c>
      <c r="AN43" s="53">
        <v>21</v>
      </c>
      <c r="AO43" s="53">
        <f>G43*0</f>
        <v>0</v>
      </c>
      <c r="AP43" s="53">
        <f>G43*(1-0)</f>
        <v>0</v>
      </c>
      <c r="AQ43" s="54" t="s">
        <v>110</v>
      </c>
      <c r="AV43" s="53">
        <f>ROUND(AW43+AX43,2)</f>
        <v>0</v>
      </c>
      <c r="AW43" s="53">
        <f>ROUND(F43*AO43,2)</f>
        <v>0</v>
      </c>
      <c r="AX43" s="53">
        <f>ROUND(F43*AP43,2)</f>
        <v>0</v>
      </c>
      <c r="AY43" s="54" t="s">
        <v>194</v>
      </c>
      <c r="AZ43" s="54" t="s">
        <v>115</v>
      </c>
      <c r="BA43" s="36" t="s">
        <v>116</v>
      </c>
      <c r="BC43" s="53">
        <f>AW43+AX43</f>
        <v>0</v>
      </c>
      <c r="BD43" s="53">
        <f>G43/(100-BE43)*100</f>
        <v>0</v>
      </c>
      <c r="BE43" s="53">
        <v>0</v>
      </c>
      <c r="BF43" s="53">
        <f>43</f>
        <v>43</v>
      </c>
      <c r="BH43" s="53">
        <f>F43*AO43</f>
        <v>0</v>
      </c>
      <c r="BI43" s="53">
        <f>F43*AP43</f>
        <v>0</v>
      </c>
      <c r="BJ43" s="53">
        <f>F43*G43</f>
        <v>0</v>
      </c>
      <c r="BK43" s="54" t="s">
        <v>117</v>
      </c>
      <c r="BL43" s="53">
        <v>17</v>
      </c>
      <c r="BW43" s="53">
        <v>21</v>
      </c>
      <c r="BX43" s="3" t="s">
        <v>203</v>
      </c>
    </row>
    <row r="44" spans="1:76" ht="14.5" x14ac:dyDescent="0.35">
      <c r="A44" s="50" t="s">
        <v>10</v>
      </c>
      <c r="B44" s="51" t="s">
        <v>174</v>
      </c>
      <c r="C44" s="172" t="s">
        <v>204</v>
      </c>
      <c r="D44" s="173"/>
      <c r="E44" s="52" t="s">
        <v>75</v>
      </c>
      <c r="F44" s="52" t="s">
        <v>75</v>
      </c>
      <c r="G44" s="52" t="s">
        <v>75</v>
      </c>
      <c r="H44" s="28">
        <f>SUM(H45:H47)</f>
        <v>0</v>
      </c>
      <c r="I44" s="36" t="s">
        <v>10</v>
      </c>
      <c r="J44" s="49"/>
      <c r="AI44" s="36" t="s">
        <v>10</v>
      </c>
      <c r="AS44" s="28">
        <f>SUM(AJ45:AJ47)</f>
        <v>0</v>
      </c>
      <c r="AT44" s="28">
        <f>SUM(AK45:AK47)</f>
        <v>0</v>
      </c>
      <c r="AU44" s="28">
        <f>SUM(AL45:AL47)</f>
        <v>0</v>
      </c>
    </row>
    <row r="45" spans="1:76" ht="23" x14ac:dyDescent="0.35">
      <c r="A45" s="1" t="s">
        <v>205</v>
      </c>
      <c r="B45" s="2" t="s">
        <v>206</v>
      </c>
      <c r="C45" s="91" t="s">
        <v>207</v>
      </c>
      <c r="D45" s="88"/>
      <c r="E45" s="2" t="s">
        <v>113</v>
      </c>
      <c r="F45" s="53">
        <v>20</v>
      </c>
      <c r="G45" s="77">
        <v>0</v>
      </c>
      <c r="H45" s="53">
        <f>ROUND(F45*G45,2)</f>
        <v>0</v>
      </c>
      <c r="I45" s="79" t="s">
        <v>1688</v>
      </c>
      <c r="J45" s="49"/>
      <c r="Z45" s="53">
        <f>ROUND(IF(AQ45="5",BJ45,0),2)</f>
        <v>0</v>
      </c>
      <c r="AB45" s="53">
        <f>ROUND(IF(AQ45="1",BH45,0),2)</f>
        <v>0</v>
      </c>
      <c r="AC45" s="53">
        <f>ROUND(IF(AQ45="1",BI45,0),2)</f>
        <v>0</v>
      </c>
      <c r="AD45" s="53">
        <f>ROUND(IF(AQ45="7",BH45,0),2)</f>
        <v>0</v>
      </c>
      <c r="AE45" s="53">
        <f>ROUND(IF(AQ45="7",BI45,0),2)</f>
        <v>0</v>
      </c>
      <c r="AF45" s="53">
        <f>ROUND(IF(AQ45="2",BH45,0),2)</f>
        <v>0</v>
      </c>
      <c r="AG45" s="53">
        <f>ROUND(IF(AQ45="2",BI45,0),2)</f>
        <v>0</v>
      </c>
      <c r="AH45" s="53">
        <f>ROUND(IF(AQ45="0",BJ45,0),2)</f>
        <v>0</v>
      </c>
      <c r="AI45" s="36" t="s">
        <v>10</v>
      </c>
      <c r="AJ45" s="53">
        <f>IF(AN45=0,H45,0)</f>
        <v>0</v>
      </c>
      <c r="AK45" s="53">
        <f>IF(AN45=12,H45,0)</f>
        <v>0</v>
      </c>
      <c r="AL45" s="53">
        <f>IF(AN45=21,H45,0)</f>
        <v>0</v>
      </c>
      <c r="AN45" s="53">
        <v>21</v>
      </c>
      <c r="AO45" s="53">
        <f>G45*0</f>
        <v>0</v>
      </c>
      <c r="AP45" s="53">
        <f>G45*(1-0)</f>
        <v>0</v>
      </c>
      <c r="AQ45" s="54" t="s">
        <v>110</v>
      </c>
      <c r="AV45" s="53">
        <f>ROUND(AW45+AX45,2)</f>
        <v>0</v>
      </c>
      <c r="AW45" s="53">
        <f>ROUND(F45*AO45,2)</f>
        <v>0</v>
      </c>
      <c r="AX45" s="53">
        <f>ROUND(F45*AP45,2)</f>
        <v>0</v>
      </c>
      <c r="AY45" s="54" t="s">
        <v>208</v>
      </c>
      <c r="AZ45" s="54" t="s">
        <v>115</v>
      </c>
      <c r="BA45" s="36" t="s">
        <v>116</v>
      </c>
      <c r="BC45" s="53">
        <f>AW45+AX45</f>
        <v>0</v>
      </c>
      <c r="BD45" s="53">
        <f>G45/(100-BE45)*100</f>
        <v>0</v>
      </c>
      <c r="BE45" s="53">
        <v>0</v>
      </c>
      <c r="BF45" s="53">
        <f>45</f>
        <v>45</v>
      </c>
      <c r="BH45" s="53">
        <f>F45*AO45</f>
        <v>0</v>
      </c>
      <c r="BI45" s="53">
        <f>F45*AP45</f>
        <v>0</v>
      </c>
      <c r="BJ45" s="53">
        <f>F45*G45</f>
        <v>0</v>
      </c>
      <c r="BK45" s="54" t="s">
        <v>117</v>
      </c>
      <c r="BL45" s="53">
        <v>18</v>
      </c>
      <c r="BW45" s="53">
        <v>21</v>
      </c>
      <c r="BX45" s="3" t="s">
        <v>207</v>
      </c>
    </row>
    <row r="46" spans="1:76" ht="23" x14ac:dyDescent="0.35">
      <c r="A46" s="1" t="s">
        <v>209</v>
      </c>
      <c r="B46" s="2" t="s">
        <v>210</v>
      </c>
      <c r="C46" s="91" t="s">
        <v>211</v>
      </c>
      <c r="D46" s="88"/>
      <c r="E46" s="2" t="s">
        <v>113</v>
      </c>
      <c r="F46" s="53">
        <v>30</v>
      </c>
      <c r="G46" s="77">
        <v>0</v>
      </c>
      <c r="H46" s="53">
        <f>ROUND(F46*G46,2)</f>
        <v>0</v>
      </c>
      <c r="I46" s="79" t="s">
        <v>1688</v>
      </c>
      <c r="J46" s="49"/>
      <c r="Z46" s="53">
        <f>ROUND(IF(AQ46="5",BJ46,0),2)</f>
        <v>0</v>
      </c>
      <c r="AB46" s="53">
        <f>ROUND(IF(AQ46="1",BH46,0),2)</f>
        <v>0</v>
      </c>
      <c r="AC46" s="53">
        <f>ROUND(IF(AQ46="1",BI46,0),2)</f>
        <v>0</v>
      </c>
      <c r="AD46" s="53">
        <f>ROUND(IF(AQ46="7",BH46,0),2)</f>
        <v>0</v>
      </c>
      <c r="AE46" s="53">
        <f>ROUND(IF(AQ46="7",BI46,0),2)</f>
        <v>0</v>
      </c>
      <c r="AF46" s="53">
        <f>ROUND(IF(AQ46="2",BH46,0),2)</f>
        <v>0</v>
      </c>
      <c r="AG46" s="53">
        <f>ROUND(IF(AQ46="2",BI46,0),2)</f>
        <v>0</v>
      </c>
      <c r="AH46" s="53">
        <f>ROUND(IF(AQ46="0",BJ46,0),2)</f>
        <v>0</v>
      </c>
      <c r="AI46" s="36" t="s">
        <v>10</v>
      </c>
      <c r="AJ46" s="53">
        <f>IF(AN46=0,H46,0)</f>
        <v>0</v>
      </c>
      <c r="AK46" s="53">
        <f>IF(AN46=12,H46,0)</f>
        <v>0</v>
      </c>
      <c r="AL46" s="53">
        <f>IF(AN46=21,H46,0)</f>
        <v>0</v>
      </c>
      <c r="AN46" s="53">
        <v>21</v>
      </c>
      <c r="AO46" s="53">
        <f>G46*0.095246136</f>
        <v>0</v>
      </c>
      <c r="AP46" s="53">
        <f>G46*(1-0.095246136)</f>
        <v>0</v>
      </c>
      <c r="AQ46" s="54" t="s">
        <v>110</v>
      </c>
      <c r="AV46" s="53">
        <f>ROUND(AW46+AX46,2)</f>
        <v>0</v>
      </c>
      <c r="AW46" s="53">
        <f>ROUND(F46*AO46,2)</f>
        <v>0</v>
      </c>
      <c r="AX46" s="53">
        <f>ROUND(F46*AP46,2)</f>
        <v>0</v>
      </c>
      <c r="AY46" s="54" t="s">
        <v>208</v>
      </c>
      <c r="AZ46" s="54" t="s">
        <v>115</v>
      </c>
      <c r="BA46" s="36" t="s">
        <v>116</v>
      </c>
      <c r="BC46" s="53">
        <f>AW46+AX46</f>
        <v>0</v>
      </c>
      <c r="BD46" s="53">
        <f>G46/(100-BE46)*100</f>
        <v>0</v>
      </c>
      <c r="BE46" s="53">
        <v>0</v>
      </c>
      <c r="BF46" s="53">
        <f>46</f>
        <v>46</v>
      </c>
      <c r="BH46" s="53">
        <f>F46*AO46</f>
        <v>0</v>
      </c>
      <c r="BI46" s="53">
        <f>F46*AP46</f>
        <v>0</v>
      </c>
      <c r="BJ46" s="53">
        <f>F46*G46</f>
        <v>0</v>
      </c>
      <c r="BK46" s="54" t="s">
        <v>117</v>
      </c>
      <c r="BL46" s="53">
        <v>18</v>
      </c>
      <c r="BW46" s="53">
        <v>21</v>
      </c>
      <c r="BX46" s="3" t="s">
        <v>211</v>
      </c>
    </row>
    <row r="47" spans="1:76" ht="23" x14ac:dyDescent="0.35">
      <c r="A47" s="1" t="s">
        <v>212</v>
      </c>
      <c r="B47" s="2" t="s">
        <v>213</v>
      </c>
      <c r="C47" s="91" t="s">
        <v>214</v>
      </c>
      <c r="D47" s="88"/>
      <c r="E47" s="2" t="s">
        <v>121</v>
      </c>
      <c r="F47" s="53">
        <v>5</v>
      </c>
      <c r="G47" s="77">
        <v>0</v>
      </c>
      <c r="H47" s="53">
        <f>ROUND(F47*G47,2)</f>
        <v>0</v>
      </c>
      <c r="I47" s="79" t="s">
        <v>1688</v>
      </c>
      <c r="J47" s="49"/>
      <c r="Z47" s="53">
        <f>ROUND(IF(AQ47="5",BJ47,0),2)</f>
        <v>0</v>
      </c>
      <c r="AB47" s="53">
        <f>ROUND(IF(AQ47="1",BH47,0),2)</f>
        <v>0</v>
      </c>
      <c r="AC47" s="53">
        <f>ROUND(IF(AQ47="1",BI47,0),2)</f>
        <v>0</v>
      </c>
      <c r="AD47" s="53">
        <f>ROUND(IF(AQ47="7",BH47,0),2)</f>
        <v>0</v>
      </c>
      <c r="AE47" s="53">
        <f>ROUND(IF(AQ47="7",BI47,0),2)</f>
        <v>0</v>
      </c>
      <c r="AF47" s="53">
        <f>ROUND(IF(AQ47="2",BH47,0),2)</f>
        <v>0</v>
      </c>
      <c r="AG47" s="53">
        <f>ROUND(IF(AQ47="2",BI47,0),2)</f>
        <v>0</v>
      </c>
      <c r="AH47" s="53">
        <f>ROUND(IF(AQ47="0",BJ47,0),2)</f>
        <v>0</v>
      </c>
      <c r="AI47" s="36" t="s">
        <v>10</v>
      </c>
      <c r="AJ47" s="53">
        <f>IF(AN47=0,H47,0)</f>
        <v>0</v>
      </c>
      <c r="AK47" s="53">
        <f>IF(AN47=12,H47,0)</f>
        <v>0</v>
      </c>
      <c r="AL47" s="53">
        <f>IF(AN47=21,H47,0)</f>
        <v>0</v>
      </c>
      <c r="AN47" s="53">
        <v>21</v>
      </c>
      <c r="AO47" s="53">
        <f>G47*0.624592525</f>
        <v>0</v>
      </c>
      <c r="AP47" s="53">
        <f>G47*(1-0.624592525)</f>
        <v>0</v>
      </c>
      <c r="AQ47" s="54" t="s">
        <v>110</v>
      </c>
      <c r="AV47" s="53">
        <f>ROUND(AW47+AX47,2)</f>
        <v>0</v>
      </c>
      <c r="AW47" s="53">
        <f>ROUND(F47*AO47,2)</f>
        <v>0</v>
      </c>
      <c r="AX47" s="53">
        <f>ROUND(F47*AP47,2)</f>
        <v>0</v>
      </c>
      <c r="AY47" s="54" t="s">
        <v>208</v>
      </c>
      <c r="AZ47" s="54" t="s">
        <v>115</v>
      </c>
      <c r="BA47" s="36" t="s">
        <v>116</v>
      </c>
      <c r="BC47" s="53">
        <f>AW47+AX47</f>
        <v>0</v>
      </c>
      <c r="BD47" s="53">
        <f>G47/(100-BE47)*100</f>
        <v>0</v>
      </c>
      <c r="BE47" s="53">
        <v>0</v>
      </c>
      <c r="BF47" s="53">
        <f>47</f>
        <v>47</v>
      </c>
      <c r="BH47" s="53">
        <f>F47*AO47</f>
        <v>0</v>
      </c>
      <c r="BI47" s="53">
        <f>F47*AP47</f>
        <v>0</v>
      </c>
      <c r="BJ47" s="53">
        <f>F47*G47</f>
        <v>0</v>
      </c>
      <c r="BK47" s="54" t="s">
        <v>117</v>
      </c>
      <c r="BL47" s="53">
        <v>18</v>
      </c>
      <c r="BW47" s="53">
        <v>21</v>
      </c>
      <c r="BX47" s="3" t="s">
        <v>214</v>
      </c>
    </row>
    <row r="48" spans="1:76" ht="14.5" x14ac:dyDescent="0.35">
      <c r="A48" s="50" t="s">
        <v>10</v>
      </c>
      <c r="B48" s="51" t="s">
        <v>205</v>
      </c>
      <c r="C48" s="172" t="s">
        <v>215</v>
      </c>
      <c r="D48" s="173"/>
      <c r="E48" s="52" t="s">
        <v>75</v>
      </c>
      <c r="F48" s="52" t="s">
        <v>75</v>
      </c>
      <c r="G48" s="52" t="s">
        <v>75</v>
      </c>
      <c r="H48" s="28">
        <f>SUM(H49:H49)</f>
        <v>0</v>
      </c>
      <c r="I48" s="36" t="s">
        <v>10</v>
      </c>
      <c r="J48" s="49"/>
      <c r="AI48" s="36" t="s">
        <v>10</v>
      </c>
      <c r="AS48" s="28">
        <f>SUM(AJ49:AJ49)</f>
        <v>0</v>
      </c>
      <c r="AT48" s="28">
        <f>SUM(AK49:AK49)</f>
        <v>0</v>
      </c>
      <c r="AU48" s="28">
        <f>SUM(AL49:AL49)</f>
        <v>0</v>
      </c>
    </row>
    <row r="49" spans="1:76" ht="23" x14ac:dyDescent="0.35">
      <c r="A49" s="1" t="s">
        <v>216</v>
      </c>
      <c r="B49" s="2" t="s">
        <v>217</v>
      </c>
      <c r="C49" s="91" t="s">
        <v>218</v>
      </c>
      <c r="D49" s="88"/>
      <c r="E49" s="2" t="s">
        <v>143</v>
      </c>
      <c r="F49" s="53">
        <v>1.5</v>
      </c>
      <c r="G49" s="77">
        <v>0</v>
      </c>
      <c r="H49" s="53">
        <f>ROUND(F49*G49,2)</f>
        <v>0</v>
      </c>
      <c r="I49" s="79" t="s">
        <v>1688</v>
      </c>
      <c r="J49" s="49"/>
      <c r="Z49" s="53">
        <f>ROUND(IF(AQ49="5",BJ49,0),2)</f>
        <v>0</v>
      </c>
      <c r="AB49" s="53">
        <f>ROUND(IF(AQ49="1",BH49,0),2)</f>
        <v>0</v>
      </c>
      <c r="AC49" s="53">
        <f>ROUND(IF(AQ49="1",BI49,0),2)</f>
        <v>0</v>
      </c>
      <c r="AD49" s="53">
        <f>ROUND(IF(AQ49="7",BH49,0),2)</f>
        <v>0</v>
      </c>
      <c r="AE49" s="53">
        <f>ROUND(IF(AQ49="7",BI49,0),2)</f>
        <v>0</v>
      </c>
      <c r="AF49" s="53">
        <f>ROUND(IF(AQ49="2",BH49,0),2)</f>
        <v>0</v>
      </c>
      <c r="AG49" s="53">
        <f>ROUND(IF(AQ49="2",BI49,0),2)</f>
        <v>0</v>
      </c>
      <c r="AH49" s="53">
        <f>ROUND(IF(AQ49="0",BJ49,0),2)</f>
        <v>0</v>
      </c>
      <c r="AI49" s="36" t="s">
        <v>10</v>
      </c>
      <c r="AJ49" s="53">
        <f>IF(AN49=0,H49,0)</f>
        <v>0</v>
      </c>
      <c r="AK49" s="53">
        <f>IF(AN49=12,H49,0)</f>
        <v>0</v>
      </c>
      <c r="AL49" s="53">
        <f>IF(AN49=21,H49,0)</f>
        <v>0</v>
      </c>
      <c r="AN49" s="53">
        <v>21</v>
      </c>
      <c r="AO49" s="53">
        <f>G49*0.734191349</f>
        <v>0</v>
      </c>
      <c r="AP49" s="53">
        <f>G49*(1-0.734191349)</f>
        <v>0</v>
      </c>
      <c r="AQ49" s="54" t="s">
        <v>110</v>
      </c>
      <c r="AV49" s="53">
        <f>ROUND(AW49+AX49,2)</f>
        <v>0</v>
      </c>
      <c r="AW49" s="53">
        <f>ROUND(F49*AO49,2)</f>
        <v>0</v>
      </c>
      <c r="AX49" s="53">
        <f>ROUND(F49*AP49,2)</f>
        <v>0</v>
      </c>
      <c r="AY49" s="54" t="s">
        <v>219</v>
      </c>
      <c r="AZ49" s="54" t="s">
        <v>220</v>
      </c>
      <c r="BA49" s="36" t="s">
        <v>116</v>
      </c>
      <c r="BC49" s="53">
        <f>AW49+AX49</f>
        <v>0</v>
      </c>
      <c r="BD49" s="53">
        <f>G49/(100-BE49)*100</f>
        <v>0</v>
      </c>
      <c r="BE49" s="53">
        <v>0</v>
      </c>
      <c r="BF49" s="53">
        <f>49</f>
        <v>49</v>
      </c>
      <c r="BH49" s="53">
        <f>F49*AO49</f>
        <v>0</v>
      </c>
      <c r="BI49" s="53">
        <f>F49*AP49</f>
        <v>0</v>
      </c>
      <c r="BJ49" s="53">
        <f>F49*G49</f>
        <v>0</v>
      </c>
      <c r="BK49" s="54" t="s">
        <v>117</v>
      </c>
      <c r="BL49" s="53">
        <v>27</v>
      </c>
      <c r="BW49" s="53">
        <v>21</v>
      </c>
      <c r="BX49" s="3" t="s">
        <v>218</v>
      </c>
    </row>
    <row r="50" spans="1:76" ht="14.5" x14ac:dyDescent="0.35">
      <c r="A50" s="50" t="s">
        <v>10</v>
      </c>
      <c r="B50" s="51" t="s">
        <v>221</v>
      </c>
      <c r="C50" s="172" t="s">
        <v>222</v>
      </c>
      <c r="D50" s="173"/>
      <c r="E50" s="52" t="s">
        <v>75</v>
      </c>
      <c r="F50" s="52" t="s">
        <v>75</v>
      </c>
      <c r="G50" s="52" t="s">
        <v>75</v>
      </c>
      <c r="H50" s="28">
        <f>SUM(H51:H56)</f>
        <v>0</v>
      </c>
      <c r="I50" s="36" t="s">
        <v>10</v>
      </c>
      <c r="J50" s="49"/>
      <c r="AI50" s="36" t="s">
        <v>10</v>
      </c>
      <c r="AS50" s="28">
        <f>SUM(AJ51:AJ56)</f>
        <v>0</v>
      </c>
      <c r="AT50" s="28">
        <f>SUM(AK51:AK56)</f>
        <v>0</v>
      </c>
      <c r="AU50" s="28">
        <f>SUM(AL51:AL56)</f>
        <v>0</v>
      </c>
    </row>
    <row r="51" spans="1:76" ht="23" x14ac:dyDescent="0.35">
      <c r="A51" s="1" t="s">
        <v>223</v>
      </c>
      <c r="B51" s="2" t="s">
        <v>224</v>
      </c>
      <c r="C51" s="91" t="s">
        <v>225</v>
      </c>
      <c r="D51" s="88"/>
      <c r="E51" s="2" t="s">
        <v>113</v>
      </c>
      <c r="F51" s="53">
        <v>76.56</v>
      </c>
      <c r="G51" s="77">
        <v>0</v>
      </c>
      <c r="H51" s="53">
        <f t="shared" ref="H51:H56" si="64">ROUND(F51*G51,2)</f>
        <v>0</v>
      </c>
      <c r="I51" s="79" t="s">
        <v>1688</v>
      </c>
      <c r="J51" s="49"/>
      <c r="Z51" s="53">
        <f t="shared" ref="Z51:Z56" si="65">ROUND(IF(AQ51="5",BJ51,0),2)</f>
        <v>0</v>
      </c>
      <c r="AB51" s="53">
        <f t="shared" ref="AB51:AB56" si="66">ROUND(IF(AQ51="1",BH51,0),2)</f>
        <v>0</v>
      </c>
      <c r="AC51" s="53">
        <f t="shared" ref="AC51:AC56" si="67">ROUND(IF(AQ51="1",BI51,0),2)</f>
        <v>0</v>
      </c>
      <c r="AD51" s="53">
        <f t="shared" ref="AD51:AD56" si="68">ROUND(IF(AQ51="7",BH51,0),2)</f>
        <v>0</v>
      </c>
      <c r="AE51" s="53">
        <f t="shared" ref="AE51:AE56" si="69">ROUND(IF(AQ51="7",BI51,0),2)</f>
        <v>0</v>
      </c>
      <c r="AF51" s="53">
        <f t="shared" ref="AF51:AF56" si="70">ROUND(IF(AQ51="2",BH51,0),2)</f>
        <v>0</v>
      </c>
      <c r="AG51" s="53">
        <f t="shared" ref="AG51:AG56" si="71">ROUND(IF(AQ51="2",BI51,0),2)</f>
        <v>0</v>
      </c>
      <c r="AH51" s="53">
        <f t="shared" ref="AH51:AH56" si="72">ROUND(IF(AQ51="0",BJ51,0),2)</f>
        <v>0</v>
      </c>
      <c r="AI51" s="36" t="s">
        <v>10</v>
      </c>
      <c r="AJ51" s="53">
        <f t="shared" ref="AJ51:AJ56" si="73">IF(AN51=0,H51,0)</f>
        <v>0</v>
      </c>
      <c r="AK51" s="53">
        <f t="shared" ref="AK51:AK56" si="74">IF(AN51=12,H51,0)</f>
        <v>0</v>
      </c>
      <c r="AL51" s="53">
        <f t="shared" ref="AL51:AL56" si="75">IF(AN51=21,H51,0)</f>
        <v>0</v>
      </c>
      <c r="AN51" s="53">
        <v>21</v>
      </c>
      <c r="AO51" s="53">
        <f>G51*0.554351947</f>
        <v>0</v>
      </c>
      <c r="AP51" s="53">
        <f>G51*(1-0.554351947)</f>
        <v>0</v>
      </c>
      <c r="AQ51" s="54" t="s">
        <v>110</v>
      </c>
      <c r="AV51" s="53">
        <f t="shared" ref="AV51:AV56" si="76">ROUND(AW51+AX51,2)</f>
        <v>0</v>
      </c>
      <c r="AW51" s="53">
        <f t="shared" ref="AW51:AW56" si="77">ROUND(F51*AO51,2)</f>
        <v>0</v>
      </c>
      <c r="AX51" s="53">
        <f t="shared" ref="AX51:AX56" si="78">ROUND(F51*AP51,2)</f>
        <v>0</v>
      </c>
      <c r="AY51" s="54" t="s">
        <v>226</v>
      </c>
      <c r="AZ51" s="54" t="s">
        <v>227</v>
      </c>
      <c r="BA51" s="36" t="s">
        <v>116</v>
      </c>
      <c r="BC51" s="53">
        <f t="shared" ref="BC51:BC56" si="79">AW51+AX51</f>
        <v>0</v>
      </c>
      <c r="BD51" s="53">
        <f t="shared" ref="BD51:BD56" si="80">G51/(100-BE51)*100</f>
        <v>0</v>
      </c>
      <c r="BE51" s="53">
        <v>0</v>
      </c>
      <c r="BF51" s="53">
        <f>51</f>
        <v>51</v>
      </c>
      <c r="BH51" s="53">
        <f t="shared" ref="BH51:BH56" si="81">F51*AO51</f>
        <v>0</v>
      </c>
      <c r="BI51" s="53">
        <f t="shared" ref="BI51:BI56" si="82">F51*AP51</f>
        <v>0</v>
      </c>
      <c r="BJ51" s="53">
        <f t="shared" ref="BJ51:BJ56" si="83">F51*G51</f>
        <v>0</v>
      </c>
      <c r="BK51" s="54" t="s">
        <v>117</v>
      </c>
      <c r="BL51" s="53">
        <v>34</v>
      </c>
      <c r="BW51" s="53">
        <v>21</v>
      </c>
      <c r="BX51" s="3" t="s">
        <v>225</v>
      </c>
    </row>
    <row r="52" spans="1:76" ht="23" x14ac:dyDescent="0.35">
      <c r="A52" s="1" t="s">
        <v>228</v>
      </c>
      <c r="B52" s="2" t="s">
        <v>229</v>
      </c>
      <c r="C52" s="91" t="s">
        <v>230</v>
      </c>
      <c r="D52" s="88"/>
      <c r="E52" s="2" t="s">
        <v>137</v>
      </c>
      <c r="F52" s="53">
        <v>2.15</v>
      </c>
      <c r="G52" s="77">
        <v>0</v>
      </c>
      <c r="H52" s="53">
        <f t="shared" si="64"/>
        <v>0</v>
      </c>
      <c r="I52" s="79" t="s">
        <v>1688</v>
      </c>
      <c r="J52" s="49"/>
      <c r="Z52" s="53">
        <f t="shared" si="65"/>
        <v>0</v>
      </c>
      <c r="AB52" s="53">
        <f t="shared" si="66"/>
        <v>0</v>
      </c>
      <c r="AC52" s="53">
        <f t="shared" si="67"/>
        <v>0</v>
      </c>
      <c r="AD52" s="53">
        <f t="shared" si="68"/>
        <v>0</v>
      </c>
      <c r="AE52" s="53">
        <f t="shared" si="69"/>
        <v>0</v>
      </c>
      <c r="AF52" s="53">
        <f t="shared" si="70"/>
        <v>0</v>
      </c>
      <c r="AG52" s="53">
        <f t="shared" si="71"/>
        <v>0</v>
      </c>
      <c r="AH52" s="53">
        <f t="shared" si="72"/>
        <v>0</v>
      </c>
      <c r="AI52" s="36" t="s">
        <v>10</v>
      </c>
      <c r="AJ52" s="53">
        <f t="shared" si="73"/>
        <v>0</v>
      </c>
      <c r="AK52" s="53">
        <f t="shared" si="74"/>
        <v>0</v>
      </c>
      <c r="AL52" s="53">
        <f t="shared" si="75"/>
        <v>0</v>
      </c>
      <c r="AN52" s="53">
        <v>21</v>
      </c>
      <c r="AO52" s="53">
        <f>G52*0.263253857</f>
        <v>0</v>
      </c>
      <c r="AP52" s="53">
        <f>G52*(1-0.263253857)</f>
        <v>0</v>
      </c>
      <c r="AQ52" s="54" t="s">
        <v>110</v>
      </c>
      <c r="AV52" s="53">
        <f t="shared" si="76"/>
        <v>0</v>
      </c>
      <c r="AW52" s="53">
        <f t="shared" si="77"/>
        <v>0</v>
      </c>
      <c r="AX52" s="53">
        <f t="shared" si="78"/>
        <v>0</v>
      </c>
      <c r="AY52" s="54" t="s">
        <v>226</v>
      </c>
      <c r="AZ52" s="54" t="s">
        <v>227</v>
      </c>
      <c r="BA52" s="36" t="s">
        <v>116</v>
      </c>
      <c r="BC52" s="53">
        <f t="shared" si="79"/>
        <v>0</v>
      </c>
      <c r="BD52" s="53">
        <f t="shared" si="80"/>
        <v>0</v>
      </c>
      <c r="BE52" s="53">
        <v>0</v>
      </c>
      <c r="BF52" s="53">
        <f>52</f>
        <v>52</v>
      </c>
      <c r="BH52" s="53">
        <f t="shared" si="81"/>
        <v>0</v>
      </c>
      <c r="BI52" s="53">
        <f t="shared" si="82"/>
        <v>0</v>
      </c>
      <c r="BJ52" s="53">
        <f t="shared" si="83"/>
        <v>0</v>
      </c>
      <c r="BK52" s="54" t="s">
        <v>117</v>
      </c>
      <c r="BL52" s="53">
        <v>34</v>
      </c>
      <c r="BW52" s="53">
        <v>21</v>
      </c>
      <c r="BX52" s="3" t="s">
        <v>230</v>
      </c>
    </row>
    <row r="53" spans="1:76" ht="23" x14ac:dyDescent="0.35">
      <c r="A53" s="1" t="s">
        <v>231</v>
      </c>
      <c r="B53" s="2" t="s">
        <v>232</v>
      </c>
      <c r="C53" s="91" t="s">
        <v>233</v>
      </c>
      <c r="D53" s="88"/>
      <c r="E53" s="2" t="s">
        <v>113</v>
      </c>
      <c r="F53" s="53">
        <v>11</v>
      </c>
      <c r="G53" s="77">
        <v>0</v>
      </c>
      <c r="H53" s="53">
        <f t="shared" si="64"/>
        <v>0</v>
      </c>
      <c r="I53" s="79" t="s">
        <v>1688</v>
      </c>
      <c r="J53" s="49"/>
      <c r="Z53" s="53">
        <f t="shared" si="65"/>
        <v>0</v>
      </c>
      <c r="AB53" s="53">
        <f t="shared" si="66"/>
        <v>0</v>
      </c>
      <c r="AC53" s="53">
        <f t="shared" si="67"/>
        <v>0</v>
      </c>
      <c r="AD53" s="53">
        <f t="shared" si="68"/>
        <v>0</v>
      </c>
      <c r="AE53" s="53">
        <f t="shared" si="69"/>
        <v>0</v>
      </c>
      <c r="AF53" s="53">
        <f t="shared" si="70"/>
        <v>0</v>
      </c>
      <c r="AG53" s="53">
        <f t="shared" si="71"/>
        <v>0</v>
      </c>
      <c r="AH53" s="53">
        <f t="shared" si="72"/>
        <v>0</v>
      </c>
      <c r="AI53" s="36" t="s">
        <v>10</v>
      </c>
      <c r="AJ53" s="53">
        <f t="shared" si="73"/>
        <v>0</v>
      </c>
      <c r="AK53" s="53">
        <f t="shared" si="74"/>
        <v>0</v>
      </c>
      <c r="AL53" s="53">
        <f t="shared" si="75"/>
        <v>0</v>
      </c>
      <c r="AN53" s="53">
        <v>21</v>
      </c>
      <c r="AO53" s="53">
        <f>G53*0.679560457</f>
        <v>0</v>
      </c>
      <c r="AP53" s="53">
        <f>G53*(1-0.679560457)</f>
        <v>0</v>
      </c>
      <c r="AQ53" s="54" t="s">
        <v>110</v>
      </c>
      <c r="AV53" s="53">
        <f t="shared" si="76"/>
        <v>0</v>
      </c>
      <c r="AW53" s="53">
        <f t="shared" si="77"/>
        <v>0</v>
      </c>
      <c r="AX53" s="53">
        <f t="shared" si="78"/>
        <v>0</v>
      </c>
      <c r="AY53" s="54" t="s">
        <v>226</v>
      </c>
      <c r="AZ53" s="54" t="s">
        <v>227</v>
      </c>
      <c r="BA53" s="36" t="s">
        <v>116</v>
      </c>
      <c r="BC53" s="53">
        <f t="shared" si="79"/>
        <v>0</v>
      </c>
      <c r="BD53" s="53">
        <f t="shared" si="80"/>
        <v>0</v>
      </c>
      <c r="BE53" s="53">
        <v>0</v>
      </c>
      <c r="BF53" s="53">
        <f>53</f>
        <v>53</v>
      </c>
      <c r="BH53" s="53">
        <f t="shared" si="81"/>
        <v>0</v>
      </c>
      <c r="BI53" s="53">
        <f t="shared" si="82"/>
        <v>0</v>
      </c>
      <c r="BJ53" s="53">
        <f t="shared" si="83"/>
        <v>0</v>
      </c>
      <c r="BK53" s="54" t="s">
        <v>117</v>
      </c>
      <c r="BL53" s="53">
        <v>34</v>
      </c>
      <c r="BW53" s="53">
        <v>21</v>
      </c>
      <c r="BX53" s="3" t="s">
        <v>233</v>
      </c>
    </row>
    <row r="54" spans="1:76" ht="23" x14ac:dyDescent="0.35">
      <c r="A54" s="1" t="s">
        <v>221</v>
      </c>
      <c r="B54" s="2" t="s">
        <v>234</v>
      </c>
      <c r="C54" s="91" t="s">
        <v>235</v>
      </c>
      <c r="D54" s="88"/>
      <c r="E54" s="2" t="s">
        <v>183</v>
      </c>
      <c r="F54" s="53">
        <v>0.03</v>
      </c>
      <c r="G54" s="77">
        <v>0</v>
      </c>
      <c r="H54" s="53">
        <f t="shared" si="64"/>
        <v>0</v>
      </c>
      <c r="I54" s="79" t="s">
        <v>1688</v>
      </c>
      <c r="J54" s="49"/>
      <c r="Z54" s="53">
        <f t="shared" si="65"/>
        <v>0</v>
      </c>
      <c r="AB54" s="53">
        <f t="shared" si="66"/>
        <v>0</v>
      </c>
      <c r="AC54" s="53">
        <f t="shared" si="67"/>
        <v>0</v>
      </c>
      <c r="AD54" s="53">
        <f t="shared" si="68"/>
        <v>0</v>
      </c>
      <c r="AE54" s="53">
        <f t="shared" si="69"/>
        <v>0</v>
      </c>
      <c r="AF54" s="53">
        <f t="shared" si="70"/>
        <v>0</v>
      </c>
      <c r="AG54" s="53">
        <f t="shared" si="71"/>
        <v>0</v>
      </c>
      <c r="AH54" s="53">
        <f t="shared" si="72"/>
        <v>0</v>
      </c>
      <c r="AI54" s="36" t="s">
        <v>10</v>
      </c>
      <c r="AJ54" s="53">
        <f t="shared" si="73"/>
        <v>0</v>
      </c>
      <c r="AK54" s="53">
        <f t="shared" si="74"/>
        <v>0</v>
      </c>
      <c r="AL54" s="53">
        <f t="shared" si="75"/>
        <v>0</v>
      </c>
      <c r="AN54" s="53">
        <v>21</v>
      </c>
      <c r="AO54" s="53">
        <f>G54*0.677856341</f>
        <v>0</v>
      </c>
      <c r="AP54" s="53">
        <f>G54*(1-0.677856341)</f>
        <v>0</v>
      </c>
      <c r="AQ54" s="54" t="s">
        <v>110</v>
      </c>
      <c r="AV54" s="53">
        <f t="shared" si="76"/>
        <v>0</v>
      </c>
      <c r="AW54" s="53">
        <f t="shared" si="77"/>
        <v>0</v>
      </c>
      <c r="AX54" s="53">
        <f t="shared" si="78"/>
        <v>0</v>
      </c>
      <c r="AY54" s="54" t="s">
        <v>226</v>
      </c>
      <c r="AZ54" s="54" t="s">
        <v>227</v>
      </c>
      <c r="BA54" s="36" t="s">
        <v>116</v>
      </c>
      <c r="BC54" s="53">
        <f t="shared" si="79"/>
        <v>0</v>
      </c>
      <c r="BD54" s="53">
        <f t="shared" si="80"/>
        <v>0</v>
      </c>
      <c r="BE54" s="53">
        <v>0</v>
      </c>
      <c r="BF54" s="53">
        <f>54</f>
        <v>54</v>
      </c>
      <c r="BH54" s="53">
        <f t="shared" si="81"/>
        <v>0</v>
      </c>
      <c r="BI54" s="53">
        <f t="shared" si="82"/>
        <v>0</v>
      </c>
      <c r="BJ54" s="53">
        <f t="shared" si="83"/>
        <v>0</v>
      </c>
      <c r="BK54" s="54" t="s">
        <v>117</v>
      </c>
      <c r="BL54" s="53">
        <v>34</v>
      </c>
      <c r="BW54" s="53">
        <v>21</v>
      </c>
      <c r="BX54" s="3" t="s">
        <v>235</v>
      </c>
    </row>
    <row r="55" spans="1:76" ht="30" customHeight="1" x14ac:dyDescent="0.35">
      <c r="A55" s="1" t="s">
        <v>236</v>
      </c>
      <c r="B55" s="2" t="s">
        <v>237</v>
      </c>
      <c r="C55" s="91" t="s">
        <v>238</v>
      </c>
      <c r="D55" s="88"/>
      <c r="E55" s="2" t="s">
        <v>113</v>
      </c>
      <c r="F55" s="53">
        <v>4.32</v>
      </c>
      <c r="G55" s="77">
        <v>0</v>
      </c>
      <c r="H55" s="53">
        <f t="shared" si="64"/>
        <v>0</v>
      </c>
      <c r="I55" s="79" t="s">
        <v>1688</v>
      </c>
      <c r="J55" s="49"/>
      <c r="Z55" s="53">
        <f t="shared" si="65"/>
        <v>0</v>
      </c>
      <c r="AB55" s="53">
        <f t="shared" si="66"/>
        <v>0</v>
      </c>
      <c r="AC55" s="53">
        <f t="shared" si="67"/>
        <v>0</v>
      </c>
      <c r="AD55" s="53">
        <f t="shared" si="68"/>
        <v>0</v>
      </c>
      <c r="AE55" s="53">
        <f t="shared" si="69"/>
        <v>0</v>
      </c>
      <c r="AF55" s="53">
        <f t="shared" si="70"/>
        <v>0</v>
      </c>
      <c r="AG55" s="53">
        <f t="shared" si="71"/>
        <v>0</v>
      </c>
      <c r="AH55" s="53">
        <f t="shared" si="72"/>
        <v>0</v>
      </c>
      <c r="AI55" s="36" t="s">
        <v>10</v>
      </c>
      <c r="AJ55" s="53">
        <f t="shared" si="73"/>
        <v>0</v>
      </c>
      <c r="AK55" s="53">
        <f t="shared" si="74"/>
        <v>0</v>
      </c>
      <c r="AL55" s="53">
        <f t="shared" si="75"/>
        <v>0</v>
      </c>
      <c r="AN55" s="53">
        <v>21</v>
      </c>
      <c r="AO55" s="53">
        <f>G55*0.467378871</f>
        <v>0</v>
      </c>
      <c r="AP55" s="53">
        <f>G55*(1-0.467378871)</f>
        <v>0</v>
      </c>
      <c r="AQ55" s="54" t="s">
        <v>110</v>
      </c>
      <c r="AV55" s="53">
        <f t="shared" si="76"/>
        <v>0</v>
      </c>
      <c r="AW55" s="53">
        <f t="shared" si="77"/>
        <v>0</v>
      </c>
      <c r="AX55" s="53">
        <f t="shared" si="78"/>
        <v>0</v>
      </c>
      <c r="AY55" s="54" t="s">
        <v>226</v>
      </c>
      <c r="AZ55" s="54" t="s">
        <v>227</v>
      </c>
      <c r="BA55" s="36" t="s">
        <v>116</v>
      </c>
      <c r="BC55" s="53">
        <f t="shared" si="79"/>
        <v>0</v>
      </c>
      <c r="BD55" s="53">
        <f t="shared" si="80"/>
        <v>0</v>
      </c>
      <c r="BE55" s="53">
        <v>0</v>
      </c>
      <c r="BF55" s="53">
        <f>55</f>
        <v>55</v>
      </c>
      <c r="BH55" s="53">
        <f t="shared" si="81"/>
        <v>0</v>
      </c>
      <c r="BI55" s="53">
        <f t="shared" si="82"/>
        <v>0</v>
      </c>
      <c r="BJ55" s="53">
        <f t="shared" si="83"/>
        <v>0</v>
      </c>
      <c r="BK55" s="54" t="s">
        <v>117</v>
      </c>
      <c r="BL55" s="53">
        <v>34</v>
      </c>
      <c r="BW55" s="53">
        <v>21</v>
      </c>
      <c r="BX55" s="3" t="s">
        <v>238</v>
      </c>
    </row>
    <row r="56" spans="1:76" ht="30" customHeight="1" x14ac:dyDescent="0.35">
      <c r="A56" s="1" t="s">
        <v>239</v>
      </c>
      <c r="B56" s="2" t="s">
        <v>240</v>
      </c>
      <c r="C56" s="91" t="s">
        <v>241</v>
      </c>
      <c r="D56" s="88"/>
      <c r="E56" s="2" t="s">
        <v>113</v>
      </c>
      <c r="F56" s="53">
        <v>11</v>
      </c>
      <c r="G56" s="77">
        <v>0</v>
      </c>
      <c r="H56" s="53">
        <f t="shared" si="64"/>
        <v>0</v>
      </c>
      <c r="I56" s="79" t="s">
        <v>1688</v>
      </c>
      <c r="J56" s="49"/>
      <c r="Z56" s="53">
        <f t="shared" si="65"/>
        <v>0</v>
      </c>
      <c r="AB56" s="53">
        <f t="shared" si="66"/>
        <v>0</v>
      </c>
      <c r="AC56" s="53">
        <f t="shared" si="67"/>
        <v>0</v>
      </c>
      <c r="AD56" s="53">
        <f t="shared" si="68"/>
        <v>0</v>
      </c>
      <c r="AE56" s="53">
        <f t="shared" si="69"/>
        <v>0</v>
      </c>
      <c r="AF56" s="53">
        <f t="shared" si="70"/>
        <v>0</v>
      </c>
      <c r="AG56" s="53">
        <f t="shared" si="71"/>
        <v>0</v>
      </c>
      <c r="AH56" s="53">
        <f t="shared" si="72"/>
        <v>0</v>
      </c>
      <c r="AI56" s="36" t="s">
        <v>10</v>
      </c>
      <c r="AJ56" s="53">
        <f t="shared" si="73"/>
        <v>0</v>
      </c>
      <c r="AK56" s="53">
        <f t="shared" si="74"/>
        <v>0</v>
      </c>
      <c r="AL56" s="53">
        <f t="shared" si="75"/>
        <v>0</v>
      </c>
      <c r="AN56" s="53">
        <v>21</v>
      </c>
      <c r="AO56" s="53">
        <f>G56*0.444747176</f>
        <v>0</v>
      </c>
      <c r="AP56" s="53">
        <f>G56*(1-0.444747176)</f>
        <v>0</v>
      </c>
      <c r="AQ56" s="54" t="s">
        <v>110</v>
      </c>
      <c r="AV56" s="53">
        <f t="shared" si="76"/>
        <v>0</v>
      </c>
      <c r="AW56" s="53">
        <f t="shared" si="77"/>
        <v>0</v>
      </c>
      <c r="AX56" s="53">
        <f t="shared" si="78"/>
        <v>0</v>
      </c>
      <c r="AY56" s="54" t="s">
        <v>226</v>
      </c>
      <c r="AZ56" s="54" t="s">
        <v>227</v>
      </c>
      <c r="BA56" s="36" t="s">
        <v>116</v>
      </c>
      <c r="BC56" s="53">
        <f t="shared" si="79"/>
        <v>0</v>
      </c>
      <c r="BD56" s="53">
        <f t="shared" si="80"/>
        <v>0</v>
      </c>
      <c r="BE56" s="53">
        <v>0</v>
      </c>
      <c r="BF56" s="53">
        <f>56</f>
        <v>56</v>
      </c>
      <c r="BH56" s="53">
        <f t="shared" si="81"/>
        <v>0</v>
      </c>
      <c r="BI56" s="53">
        <f t="shared" si="82"/>
        <v>0</v>
      </c>
      <c r="BJ56" s="53">
        <f t="shared" si="83"/>
        <v>0</v>
      </c>
      <c r="BK56" s="54" t="s">
        <v>117</v>
      </c>
      <c r="BL56" s="53">
        <v>34</v>
      </c>
      <c r="BW56" s="53">
        <v>21</v>
      </c>
      <c r="BX56" s="3" t="s">
        <v>241</v>
      </c>
    </row>
    <row r="57" spans="1:76" ht="14.5" x14ac:dyDescent="0.35">
      <c r="A57" s="50" t="s">
        <v>10</v>
      </c>
      <c r="B57" s="51" t="s">
        <v>242</v>
      </c>
      <c r="C57" s="172" t="s">
        <v>243</v>
      </c>
      <c r="D57" s="173"/>
      <c r="E57" s="52" t="s">
        <v>75</v>
      </c>
      <c r="F57" s="52" t="s">
        <v>75</v>
      </c>
      <c r="G57" s="52" t="s">
        <v>75</v>
      </c>
      <c r="H57" s="28">
        <f>SUM(H58:H63)</f>
        <v>0</v>
      </c>
      <c r="I57" s="36" t="s">
        <v>10</v>
      </c>
      <c r="J57" s="49"/>
      <c r="AI57" s="36" t="s">
        <v>10</v>
      </c>
      <c r="AS57" s="28">
        <f>SUM(AJ58:AJ63)</f>
        <v>0</v>
      </c>
      <c r="AT57" s="28">
        <f>SUM(AK58:AK63)</f>
        <v>0</v>
      </c>
      <c r="AU57" s="28">
        <f>SUM(AL58:AL63)</f>
        <v>0</v>
      </c>
    </row>
    <row r="58" spans="1:76" ht="23" x14ac:dyDescent="0.35">
      <c r="A58" s="1" t="s">
        <v>244</v>
      </c>
      <c r="B58" s="2" t="s">
        <v>245</v>
      </c>
      <c r="C58" s="91" t="s">
        <v>246</v>
      </c>
      <c r="D58" s="88"/>
      <c r="E58" s="2" t="s">
        <v>113</v>
      </c>
      <c r="F58" s="53">
        <v>24</v>
      </c>
      <c r="G58" s="77">
        <v>0</v>
      </c>
      <c r="H58" s="53">
        <f t="shared" ref="H58:H63" si="84">ROUND(F58*G58,2)</f>
        <v>0</v>
      </c>
      <c r="I58" s="79" t="s">
        <v>1688</v>
      </c>
      <c r="J58" s="49"/>
      <c r="Z58" s="53">
        <f t="shared" ref="Z58:Z63" si="85">ROUND(IF(AQ58="5",BJ58,0),2)</f>
        <v>0</v>
      </c>
      <c r="AB58" s="53">
        <f t="shared" ref="AB58:AB63" si="86">ROUND(IF(AQ58="1",BH58,0),2)</f>
        <v>0</v>
      </c>
      <c r="AC58" s="53">
        <f t="shared" ref="AC58:AC63" si="87">ROUND(IF(AQ58="1",BI58,0),2)</f>
        <v>0</v>
      </c>
      <c r="AD58" s="53">
        <f t="shared" ref="AD58:AD63" si="88">ROUND(IF(AQ58="7",BH58,0),2)</f>
        <v>0</v>
      </c>
      <c r="AE58" s="53">
        <f t="shared" ref="AE58:AE63" si="89">ROUND(IF(AQ58="7",BI58,0),2)</f>
        <v>0</v>
      </c>
      <c r="AF58" s="53">
        <f t="shared" ref="AF58:AF63" si="90">ROUND(IF(AQ58="2",BH58,0),2)</f>
        <v>0</v>
      </c>
      <c r="AG58" s="53">
        <f t="shared" ref="AG58:AG63" si="91">ROUND(IF(AQ58="2",BI58,0),2)</f>
        <v>0</v>
      </c>
      <c r="AH58" s="53">
        <f t="shared" ref="AH58:AH63" si="92">ROUND(IF(AQ58="0",BJ58,0),2)</f>
        <v>0</v>
      </c>
      <c r="AI58" s="36" t="s">
        <v>10</v>
      </c>
      <c r="AJ58" s="53">
        <f t="shared" ref="AJ58:AJ63" si="93">IF(AN58=0,H58,0)</f>
        <v>0</v>
      </c>
      <c r="AK58" s="53">
        <f t="shared" ref="AK58:AK63" si="94">IF(AN58=12,H58,0)</f>
        <v>0</v>
      </c>
      <c r="AL58" s="53">
        <f t="shared" ref="AL58:AL63" si="95">IF(AN58=21,H58,0)</f>
        <v>0</v>
      </c>
      <c r="AN58" s="53">
        <v>21</v>
      </c>
      <c r="AO58" s="53">
        <f>G58*0.818650943</f>
        <v>0</v>
      </c>
      <c r="AP58" s="53">
        <f>G58*(1-0.818650943)</f>
        <v>0</v>
      </c>
      <c r="AQ58" s="54" t="s">
        <v>110</v>
      </c>
      <c r="AV58" s="53">
        <f t="shared" ref="AV58:AV63" si="96">ROUND(AW58+AX58,2)</f>
        <v>0</v>
      </c>
      <c r="AW58" s="53">
        <f t="shared" ref="AW58:AW63" si="97">ROUND(F58*AO58,2)</f>
        <v>0</v>
      </c>
      <c r="AX58" s="53">
        <f t="shared" ref="AX58:AX63" si="98">ROUND(F58*AP58,2)</f>
        <v>0</v>
      </c>
      <c r="AY58" s="54" t="s">
        <v>247</v>
      </c>
      <c r="AZ58" s="54" t="s">
        <v>248</v>
      </c>
      <c r="BA58" s="36" t="s">
        <v>116</v>
      </c>
      <c r="BC58" s="53">
        <f t="shared" ref="BC58:BC63" si="99">AW58+AX58</f>
        <v>0</v>
      </c>
      <c r="BD58" s="53">
        <f t="shared" ref="BD58:BD63" si="100">G58/(100-BE58)*100</f>
        <v>0</v>
      </c>
      <c r="BE58" s="53">
        <v>0</v>
      </c>
      <c r="BF58" s="53">
        <f>58</f>
        <v>58</v>
      </c>
      <c r="BH58" s="53">
        <f t="shared" ref="BH58:BH63" si="101">F58*AO58</f>
        <v>0</v>
      </c>
      <c r="BI58" s="53">
        <f t="shared" ref="BI58:BI63" si="102">F58*AP58</f>
        <v>0</v>
      </c>
      <c r="BJ58" s="53">
        <f t="shared" ref="BJ58:BJ63" si="103">F58*G58</f>
        <v>0</v>
      </c>
      <c r="BK58" s="54" t="s">
        <v>117</v>
      </c>
      <c r="BL58" s="53">
        <v>56</v>
      </c>
      <c r="BW58" s="53">
        <v>21</v>
      </c>
      <c r="BX58" s="3" t="s">
        <v>246</v>
      </c>
    </row>
    <row r="59" spans="1:76" ht="23" x14ac:dyDescent="0.35">
      <c r="A59" s="1" t="s">
        <v>249</v>
      </c>
      <c r="B59" s="2" t="s">
        <v>250</v>
      </c>
      <c r="C59" s="91" t="s">
        <v>251</v>
      </c>
      <c r="D59" s="88"/>
      <c r="E59" s="2" t="s">
        <v>113</v>
      </c>
      <c r="F59" s="53">
        <v>26</v>
      </c>
      <c r="G59" s="77">
        <v>0</v>
      </c>
      <c r="H59" s="53">
        <f t="shared" si="84"/>
        <v>0</v>
      </c>
      <c r="I59" s="79" t="s">
        <v>1688</v>
      </c>
      <c r="J59" s="49"/>
      <c r="Z59" s="53">
        <f t="shared" si="85"/>
        <v>0</v>
      </c>
      <c r="AB59" s="53">
        <f t="shared" si="86"/>
        <v>0</v>
      </c>
      <c r="AC59" s="53">
        <f t="shared" si="87"/>
        <v>0</v>
      </c>
      <c r="AD59" s="53">
        <f t="shared" si="88"/>
        <v>0</v>
      </c>
      <c r="AE59" s="53">
        <f t="shared" si="89"/>
        <v>0</v>
      </c>
      <c r="AF59" s="53">
        <f t="shared" si="90"/>
        <v>0</v>
      </c>
      <c r="AG59" s="53">
        <f t="shared" si="91"/>
        <v>0</v>
      </c>
      <c r="AH59" s="53">
        <f t="shared" si="92"/>
        <v>0</v>
      </c>
      <c r="AI59" s="36" t="s">
        <v>10</v>
      </c>
      <c r="AJ59" s="53">
        <f t="shared" si="93"/>
        <v>0</v>
      </c>
      <c r="AK59" s="53">
        <f t="shared" si="94"/>
        <v>0</v>
      </c>
      <c r="AL59" s="53">
        <f t="shared" si="95"/>
        <v>0</v>
      </c>
      <c r="AN59" s="53">
        <v>21</v>
      </c>
      <c r="AO59" s="53">
        <f>G59*0.824053058</f>
        <v>0</v>
      </c>
      <c r="AP59" s="53">
        <f>G59*(1-0.824053058)</f>
        <v>0</v>
      </c>
      <c r="AQ59" s="54" t="s">
        <v>110</v>
      </c>
      <c r="AV59" s="53">
        <f t="shared" si="96"/>
        <v>0</v>
      </c>
      <c r="AW59" s="53">
        <f t="shared" si="97"/>
        <v>0</v>
      </c>
      <c r="AX59" s="53">
        <f t="shared" si="98"/>
        <v>0</v>
      </c>
      <c r="AY59" s="54" t="s">
        <v>247</v>
      </c>
      <c r="AZ59" s="54" t="s">
        <v>248</v>
      </c>
      <c r="BA59" s="36" t="s">
        <v>116</v>
      </c>
      <c r="BC59" s="53">
        <f t="shared" si="99"/>
        <v>0</v>
      </c>
      <c r="BD59" s="53">
        <f t="shared" si="100"/>
        <v>0</v>
      </c>
      <c r="BE59" s="53">
        <v>0</v>
      </c>
      <c r="BF59" s="53">
        <f>59</f>
        <v>59</v>
      </c>
      <c r="BH59" s="53">
        <f t="shared" si="101"/>
        <v>0</v>
      </c>
      <c r="BI59" s="53">
        <f t="shared" si="102"/>
        <v>0</v>
      </c>
      <c r="BJ59" s="53">
        <f t="shared" si="103"/>
        <v>0</v>
      </c>
      <c r="BK59" s="54" t="s">
        <v>117</v>
      </c>
      <c r="BL59" s="53">
        <v>56</v>
      </c>
      <c r="BW59" s="53">
        <v>21</v>
      </c>
      <c r="BX59" s="3" t="s">
        <v>251</v>
      </c>
    </row>
    <row r="60" spans="1:76" ht="25" x14ac:dyDescent="0.35">
      <c r="A60" s="1" t="s">
        <v>252</v>
      </c>
      <c r="B60" s="2" t="s">
        <v>253</v>
      </c>
      <c r="C60" s="91" t="s">
        <v>254</v>
      </c>
      <c r="D60" s="88"/>
      <c r="E60" s="2" t="s">
        <v>113</v>
      </c>
      <c r="F60" s="53">
        <v>24</v>
      </c>
      <c r="G60" s="77">
        <v>0</v>
      </c>
      <c r="H60" s="53">
        <f t="shared" si="84"/>
        <v>0</v>
      </c>
      <c r="I60" s="79" t="s">
        <v>1688</v>
      </c>
      <c r="J60" s="49"/>
      <c r="Z60" s="53">
        <f t="shared" si="85"/>
        <v>0</v>
      </c>
      <c r="AB60" s="53">
        <f t="shared" si="86"/>
        <v>0</v>
      </c>
      <c r="AC60" s="53">
        <f t="shared" si="87"/>
        <v>0</v>
      </c>
      <c r="AD60" s="53">
        <f t="shared" si="88"/>
        <v>0</v>
      </c>
      <c r="AE60" s="53">
        <f t="shared" si="89"/>
        <v>0</v>
      </c>
      <c r="AF60" s="53">
        <f t="shared" si="90"/>
        <v>0</v>
      </c>
      <c r="AG60" s="53">
        <f t="shared" si="91"/>
        <v>0</v>
      </c>
      <c r="AH60" s="53">
        <f t="shared" si="92"/>
        <v>0</v>
      </c>
      <c r="AI60" s="36" t="s">
        <v>10</v>
      </c>
      <c r="AJ60" s="53">
        <f t="shared" si="93"/>
        <v>0</v>
      </c>
      <c r="AK60" s="53">
        <f t="shared" si="94"/>
        <v>0</v>
      </c>
      <c r="AL60" s="53">
        <f t="shared" si="95"/>
        <v>0</v>
      </c>
      <c r="AN60" s="53">
        <v>21</v>
      </c>
      <c r="AO60" s="53">
        <f>G60*0.710596338</f>
        <v>0</v>
      </c>
      <c r="AP60" s="53">
        <f>G60*(1-0.710596338)</f>
        <v>0</v>
      </c>
      <c r="AQ60" s="54" t="s">
        <v>110</v>
      </c>
      <c r="AV60" s="53">
        <f t="shared" si="96"/>
        <v>0</v>
      </c>
      <c r="AW60" s="53">
        <f t="shared" si="97"/>
        <v>0</v>
      </c>
      <c r="AX60" s="53">
        <f t="shared" si="98"/>
        <v>0</v>
      </c>
      <c r="AY60" s="54" t="s">
        <v>247</v>
      </c>
      <c r="AZ60" s="54" t="s">
        <v>248</v>
      </c>
      <c r="BA60" s="36" t="s">
        <v>116</v>
      </c>
      <c r="BC60" s="53">
        <f t="shared" si="99"/>
        <v>0</v>
      </c>
      <c r="BD60" s="53">
        <f t="shared" si="100"/>
        <v>0</v>
      </c>
      <c r="BE60" s="53">
        <v>0</v>
      </c>
      <c r="BF60" s="53">
        <f>60</f>
        <v>60</v>
      </c>
      <c r="BH60" s="53">
        <f t="shared" si="101"/>
        <v>0</v>
      </c>
      <c r="BI60" s="53">
        <f t="shared" si="102"/>
        <v>0</v>
      </c>
      <c r="BJ60" s="53">
        <f t="shared" si="103"/>
        <v>0</v>
      </c>
      <c r="BK60" s="54" t="s">
        <v>117</v>
      </c>
      <c r="BL60" s="53">
        <v>56</v>
      </c>
      <c r="BW60" s="53">
        <v>21</v>
      </c>
      <c r="BX60" s="3" t="s">
        <v>254</v>
      </c>
    </row>
    <row r="61" spans="1:76" ht="23" x14ac:dyDescent="0.35">
      <c r="A61" s="1" t="s">
        <v>255</v>
      </c>
      <c r="B61" s="2" t="s">
        <v>256</v>
      </c>
      <c r="C61" s="91" t="s">
        <v>257</v>
      </c>
      <c r="D61" s="88"/>
      <c r="E61" s="2" t="s">
        <v>137</v>
      </c>
      <c r="F61" s="53">
        <v>28</v>
      </c>
      <c r="G61" s="77">
        <v>0</v>
      </c>
      <c r="H61" s="53">
        <f t="shared" si="84"/>
        <v>0</v>
      </c>
      <c r="I61" s="79" t="s">
        <v>1688</v>
      </c>
      <c r="J61" s="49"/>
      <c r="Z61" s="53">
        <f t="shared" si="85"/>
        <v>0</v>
      </c>
      <c r="AB61" s="53">
        <f t="shared" si="86"/>
        <v>0</v>
      </c>
      <c r="AC61" s="53">
        <f t="shared" si="87"/>
        <v>0</v>
      </c>
      <c r="AD61" s="53">
        <f t="shared" si="88"/>
        <v>0</v>
      </c>
      <c r="AE61" s="53">
        <f t="shared" si="89"/>
        <v>0</v>
      </c>
      <c r="AF61" s="53">
        <f t="shared" si="90"/>
        <v>0</v>
      </c>
      <c r="AG61" s="53">
        <f t="shared" si="91"/>
        <v>0</v>
      </c>
      <c r="AH61" s="53">
        <f t="shared" si="92"/>
        <v>0</v>
      </c>
      <c r="AI61" s="36" t="s">
        <v>10</v>
      </c>
      <c r="AJ61" s="53">
        <f t="shared" si="93"/>
        <v>0</v>
      </c>
      <c r="AK61" s="53">
        <f t="shared" si="94"/>
        <v>0</v>
      </c>
      <c r="AL61" s="53">
        <f t="shared" si="95"/>
        <v>0</v>
      </c>
      <c r="AN61" s="53">
        <v>21</v>
      </c>
      <c r="AO61" s="53">
        <f>G61*0.601645638</f>
        <v>0</v>
      </c>
      <c r="AP61" s="53">
        <f>G61*(1-0.601645638)</f>
        <v>0</v>
      </c>
      <c r="AQ61" s="54" t="s">
        <v>110</v>
      </c>
      <c r="AV61" s="53">
        <f t="shared" si="96"/>
        <v>0</v>
      </c>
      <c r="AW61" s="53">
        <f t="shared" si="97"/>
        <v>0</v>
      </c>
      <c r="AX61" s="53">
        <f t="shared" si="98"/>
        <v>0</v>
      </c>
      <c r="AY61" s="54" t="s">
        <v>247</v>
      </c>
      <c r="AZ61" s="54" t="s">
        <v>248</v>
      </c>
      <c r="BA61" s="36" t="s">
        <v>116</v>
      </c>
      <c r="BC61" s="53">
        <f t="shared" si="99"/>
        <v>0</v>
      </c>
      <c r="BD61" s="53">
        <f t="shared" si="100"/>
        <v>0</v>
      </c>
      <c r="BE61" s="53">
        <v>0</v>
      </c>
      <c r="BF61" s="53">
        <f>61</f>
        <v>61</v>
      </c>
      <c r="BH61" s="53">
        <f t="shared" si="101"/>
        <v>0</v>
      </c>
      <c r="BI61" s="53">
        <f t="shared" si="102"/>
        <v>0</v>
      </c>
      <c r="BJ61" s="53">
        <f t="shared" si="103"/>
        <v>0</v>
      </c>
      <c r="BK61" s="54" t="s">
        <v>117</v>
      </c>
      <c r="BL61" s="53">
        <v>56</v>
      </c>
      <c r="BW61" s="53">
        <v>21</v>
      </c>
      <c r="BX61" s="3" t="s">
        <v>257</v>
      </c>
    </row>
    <row r="62" spans="1:76" ht="23" x14ac:dyDescent="0.35">
      <c r="A62" s="1" t="s">
        <v>258</v>
      </c>
      <c r="B62" s="2" t="s">
        <v>259</v>
      </c>
      <c r="C62" s="91" t="s">
        <v>260</v>
      </c>
      <c r="D62" s="88"/>
      <c r="E62" s="2" t="s">
        <v>137</v>
      </c>
      <c r="F62" s="53">
        <v>14</v>
      </c>
      <c r="G62" s="77">
        <v>0</v>
      </c>
      <c r="H62" s="53">
        <f t="shared" si="84"/>
        <v>0</v>
      </c>
      <c r="I62" s="79" t="s">
        <v>1688</v>
      </c>
      <c r="J62" s="49"/>
      <c r="Z62" s="53">
        <f t="shared" si="85"/>
        <v>0</v>
      </c>
      <c r="AB62" s="53">
        <f t="shared" si="86"/>
        <v>0</v>
      </c>
      <c r="AC62" s="53">
        <f t="shared" si="87"/>
        <v>0</v>
      </c>
      <c r="AD62" s="53">
        <f t="shared" si="88"/>
        <v>0</v>
      </c>
      <c r="AE62" s="53">
        <f t="shared" si="89"/>
        <v>0</v>
      </c>
      <c r="AF62" s="53">
        <f t="shared" si="90"/>
        <v>0</v>
      </c>
      <c r="AG62" s="53">
        <f t="shared" si="91"/>
        <v>0</v>
      </c>
      <c r="AH62" s="53">
        <f t="shared" si="92"/>
        <v>0</v>
      </c>
      <c r="AI62" s="36" t="s">
        <v>10</v>
      </c>
      <c r="AJ62" s="53">
        <f t="shared" si="93"/>
        <v>0</v>
      </c>
      <c r="AK62" s="53">
        <f t="shared" si="94"/>
        <v>0</v>
      </c>
      <c r="AL62" s="53">
        <f t="shared" si="95"/>
        <v>0</v>
      </c>
      <c r="AN62" s="53">
        <v>21</v>
      </c>
      <c r="AO62" s="53">
        <f>G62*0.042851425</f>
        <v>0</v>
      </c>
      <c r="AP62" s="53">
        <f>G62*(1-0.042851425)</f>
        <v>0</v>
      </c>
      <c r="AQ62" s="54" t="s">
        <v>110</v>
      </c>
      <c r="AV62" s="53">
        <f t="shared" si="96"/>
        <v>0</v>
      </c>
      <c r="AW62" s="53">
        <f t="shared" si="97"/>
        <v>0</v>
      </c>
      <c r="AX62" s="53">
        <f t="shared" si="98"/>
        <v>0</v>
      </c>
      <c r="AY62" s="54" t="s">
        <v>247</v>
      </c>
      <c r="AZ62" s="54" t="s">
        <v>248</v>
      </c>
      <c r="BA62" s="36" t="s">
        <v>116</v>
      </c>
      <c r="BC62" s="53">
        <f t="shared" si="99"/>
        <v>0</v>
      </c>
      <c r="BD62" s="53">
        <f t="shared" si="100"/>
        <v>0</v>
      </c>
      <c r="BE62" s="53">
        <v>0</v>
      </c>
      <c r="BF62" s="53">
        <f>62</f>
        <v>62</v>
      </c>
      <c r="BH62" s="53">
        <f t="shared" si="101"/>
        <v>0</v>
      </c>
      <c r="BI62" s="53">
        <f t="shared" si="102"/>
        <v>0</v>
      </c>
      <c r="BJ62" s="53">
        <f t="shared" si="103"/>
        <v>0</v>
      </c>
      <c r="BK62" s="54" t="s">
        <v>117</v>
      </c>
      <c r="BL62" s="53">
        <v>56</v>
      </c>
      <c r="BW62" s="53">
        <v>21</v>
      </c>
      <c r="BX62" s="3" t="s">
        <v>260</v>
      </c>
    </row>
    <row r="63" spans="1:76" ht="23" x14ac:dyDescent="0.35">
      <c r="A63" s="1" t="s">
        <v>261</v>
      </c>
      <c r="B63" s="2" t="s">
        <v>262</v>
      </c>
      <c r="C63" s="156" t="s">
        <v>1689</v>
      </c>
      <c r="D63" s="88"/>
      <c r="E63" s="2" t="s">
        <v>113</v>
      </c>
      <c r="F63" s="53">
        <v>24</v>
      </c>
      <c r="G63" s="77">
        <v>0</v>
      </c>
      <c r="H63" s="53">
        <f t="shared" si="84"/>
        <v>0</v>
      </c>
      <c r="I63" s="79" t="s">
        <v>1688</v>
      </c>
      <c r="J63" s="49"/>
      <c r="Z63" s="53">
        <f t="shared" si="85"/>
        <v>0</v>
      </c>
      <c r="AB63" s="53">
        <f t="shared" si="86"/>
        <v>0</v>
      </c>
      <c r="AC63" s="53">
        <f t="shared" si="87"/>
        <v>0</v>
      </c>
      <c r="AD63" s="53">
        <f t="shared" si="88"/>
        <v>0</v>
      </c>
      <c r="AE63" s="53">
        <f t="shared" si="89"/>
        <v>0</v>
      </c>
      <c r="AF63" s="53">
        <f t="shared" si="90"/>
        <v>0</v>
      </c>
      <c r="AG63" s="53">
        <f t="shared" si="91"/>
        <v>0</v>
      </c>
      <c r="AH63" s="53">
        <f t="shared" si="92"/>
        <v>0</v>
      </c>
      <c r="AI63" s="36" t="s">
        <v>10</v>
      </c>
      <c r="AJ63" s="53">
        <f t="shared" si="93"/>
        <v>0</v>
      </c>
      <c r="AK63" s="53">
        <f t="shared" si="94"/>
        <v>0</v>
      </c>
      <c r="AL63" s="53">
        <f t="shared" si="95"/>
        <v>0</v>
      </c>
      <c r="AN63" s="53">
        <v>21</v>
      </c>
      <c r="AO63" s="53">
        <f>G63*0.358537756</f>
        <v>0</v>
      </c>
      <c r="AP63" s="53">
        <f>G63*(1-0.358537756)</f>
        <v>0</v>
      </c>
      <c r="AQ63" s="54" t="s">
        <v>110</v>
      </c>
      <c r="AV63" s="53">
        <f t="shared" si="96"/>
        <v>0</v>
      </c>
      <c r="AW63" s="53">
        <f t="shared" si="97"/>
        <v>0</v>
      </c>
      <c r="AX63" s="53">
        <f t="shared" si="98"/>
        <v>0</v>
      </c>
      <c r="AY63" s="54" t="s">
        <v>247</v>
      </c>
      <c r="AZ63" s="54" t="s">
        <v>248</v>
      </c>
      <c r="BA63" s="36" t="s">
        <v>116</v>
      </c>
      <c r="BC63" s="53">
        <f t="shared" si="99"/>
        <v>0</v>
      </c>
      <c r="BD63" s="53">
        <f t="shared" si="100"/>
        <v>0</v>
      </c>
      <c r="BE63" s="53">
        <v>0</v>
      </c>
      <c r="BF63" s="53">
        <f>63</f>
        <v>63</v>
      </c>
      <c r="BH63" s="53">
        <f t="shared" si="101"/>
        <v>0</v>
      </c>
      <c r="BI63" s="53">
        <f t="shared" si="102"/>
        <v>0</v>
      </c>
      <c r="BJ63" s="53">
        <f t="shared" si="103"/>
        <v>0</v>
      </c>
      <c r="BK63" s="54" t="s">
        <v>117</v>
      </c>
      <c r="BL63" s="53">
        <v>56</v>
      </c>
      <c r="BW63" s="53">
        <v>21</v>
      </c>
      <c r="BX63" s="3" t="s">
        <v>263</v>
      </c>
    </row>
    <row r="64" spans="1:76" ht="14.5" x14ac:dyDescent="0.35">
      <c r="A64" s="50" t="s">
        <v>10</v>
      </c>
      <c r="B64" s="51" t="s">
        <v>264</v>
      </c>
      <c r="C64" s="172" t="s">
        <v>265</v>
      </c>
      <c r="D64" s="173"/>
      <c r="E64" s="52" t="s">
        <v>75</v>
      </c>
      <c r="F64" s="52" t="s">
        <v>75</v>
      </c>
      <c r="G64" s="52" t="s">
        <v>75</v>
      </c>
      <c r="H64" s="28">
        <f>SUM(H65:H70)</f>
        <v>0</v>
      </c>
      <c r="I64" s="36" t="s">
        <v>10</v>
      </c>
      <c r="J64" s="49"/>
      <c r="AI64" s="36" t="s">
        <v>10</v>
      </c>
      <c r="AS64" s="28">
        <f>SUM(AJ65:AJ70)</f>
        <v>0</v>
      </c>
      <c r="AT64" s="28">
        <f>SUM(AK65:AK70)</f>
        <v>0</v>
      </c>
      <c r="AU64" s="28">
        <f>SUM(AL65:AL70)</f>
        <v>0</v>
      </c>
    </row>
    <row r="65" spans="1:76" ht="31" customHeight="1" x14ac:dyDescent="0.35">
      <c r="A65" s="1" t="s">
        <v>266</v>
      </c>
      <c r="B65" s="2" t="s">
        <v>267</v>
      </c>
      <c r="C65" s="91" t="s">
        <v>268</v>
      </c>
      <c r="D65" s="88"/>
      <c r="E65" s="2" t="s">
        <v>113</v>
      </c>
      <c r="F65" s="53">
        <v>176</v>
      </c>
      <c r="G65" s="77">
        <v>0</v>
      </c>
      <c r="H65" s="53">
        <f t="shared" ref="H65:H70" si="104">ROUND(F65*G65,2)</f>
        <v>0</v>
      </c>
      <c r="I65" s="79" t="s">
        <v>1688</v>
      </c>
      <c r="J65" s="49"/>
      <c r="Z65" s="53">
        <f t="shared" ref="Z65:Z70" si="105">ROUND(IF(AQ65="5",BJ65,0),2)</f>
        <v>0</v>
      </c>
      <c r="AB65" s="53">
        <f t="shared" ref="AB65:AB70" si="106">ROUND(IF(AQ65="1",BH65,0),2)</f>
        <v>0</v>
      </c>
      <c r="AC65" s="53">
        <f t="shared" ref="AC65:AC70" si="107">ROUND(IF(AQ65="1",BI65,0),2)</f>
        <v>0</v>
      </c>
      <c r="AD65" s="53">
        <f t="shared" ref="AD65:AD70" si="108">ROUND(IF(AQ65="7",BH65,0),2)</f>
        <v>0</v>
      </c>
      <c r="AE65" s="53">
        <f t="shared" ref="AE65:AE70" si="109">ROUND(IF(AQ65="7",BI65,0),2)</f>
        <v>0</v>
      </c>
      <c r="AF65" s="53">
        <f t="shared" ref="AF65:AF70" si="110">ROUND(IF(AQ65="2",BH65,0),2)</f>
        <v>0</v>
      </c>
      <c r="AG65" s="53">
        <f t="shared" ref="AG65:AG70" si="111">ROUND(IF(AQ65="2",BI65,0),2)</f>
        <v>0</v>
      </c>
      <c r="AH65" s="53">
        <f t="shared" ref="AH65:AH70" si="112">ROUND(IF(AQ65="0",BJ65,0),2)</f>
        <v>0</v>
      </c>
      <c r="AI65" s="36" t="s">
        <v>10</v>
      </c>
      <c r="AJ65" s="53">
        <f t="shared" ref="AJ65:AJ70" si="113">IF(AN65=0,H65,0)</f>
        <v>0</v>
      </c>
      <c r="AK65" s="53">
        <f t="shared" ref="AK65:AK70" si="114">IF(AN65=12,H65,0)</f>
        <v>0</v>
      </c>
      <c r="AL65" s="53">
        <f t="shared" ref="AL65:AL70" si="115">IF(AN65=21,H65,0)</f>
        <v>0</v>
      </c>
      <c r="AN65" s="53">
        <v>21</v>
      </c>
      <c r="AO65" s="53">
        <f>G65*0.595266401</f>
        <v>0</v>
      </c>
      <c r="AP65" s="53">
        <f>G65*(1-0.595266401)</f>
        <v>0</v>
      </c>
      <c r="AQ65" s="54" t="s">
        <v>110</v>
      </c>
      <c r="AV65" s="53">
        <f t="shared" ref="AV65:AV70" si="116">ROUND(AW65+AX65,2)</f>
        <v>0</v>
      </c>
      <c r="AW65" s="53">
        <f t="shared" ref="AW65:AW70" si="117">ROUND(F65*AO65,2)</f>
        <v>0</v>
      </c>
      <c r="AX65" s="53">
        <f t="shared" ref="AX65:AX70" si="118">ROUND(F65*AP65,2)</f>
        <v>0</v>
      </c>
      <c r="AY65" s="54" t="s">
        <v>269</v>
      </c>
      <c r="AZ65" s="54" t="s">
        <v>270</v>
      </c>
      <c r="BA65" s="36" t="s">
        <v>116</v>
      </c>
      <c r="BC65" s="53">
        <f t="shared" ref="BC65:BC70" si="119">AW65+AX65</f>
        <v>0</v>
      </c>
      <c r="BD65" s="53">
        <f t="shared" ref="BD65:BD70" si="120">G65/(100-BE65)*100</f>
        <v>0</v>
      </c>
      <c r="BE65" s="53">
        <v>0</v>
      </c>
      <c r="BF65" s="53">
        <f>65</f>
        <v>65</v>
      </c>
      <c r="BH65" s="53">
        <f t="shared" ref="BH65:BH70" si="121">F65*AO65</f>
        <v>0</v>
      </c>
      <c r="BI65" s="53">
        <f t="shared" ref="BI65:BI70" si="122">F65*AP65</f>
        <v>0</v>
      </c>
      <c r="BJ65" s="53">
        <f t="shared" ref="BJ65:BJ70" si="123">F65*G65</f>
        <v>0</v>
      </c>
      <c r="BK65" s="54" t="s">
        <v>117</v>
      </c>
      <c r="BL65" s="53">
        <v>61</v>
      </c>
      <c r="BW65" s="53">
        <v>21</v>
      </c>
      <c r="BX65" s="3" t="s">
        <v>268</v>
      </c>
    </row>
    <row r="66" spans="1:76" ht="23" x14ac:dyDescent="0.35">
      <c r="A66" s="1" t="s">
        <v>271</v>
      </c>
      <c r="B66" s="2" t="s">
        <v>272</v>
      </c>
      <c r="C66" s="91" t="s">
        <v>273</v>
      </c>
      <c r="D66" s="88"/>
      <c r="E66" s="2" t="s">
        <v>137</v>
      </c>
      <c r="F66" s="53">
        <v>105</v>
      </c>
      <c r="G66" s="77">
        <v>0</v>
      </c>
      <c r="H66" s="53">
        <f t="shared" si="104"/>
        <v>0</v>
      </c>
      <c r="I66" s="79" t="s">
        <v>1688</v>
      </c>
      <c r="J66" s="49"/>
      <c r="Z66" s="53">
        <f t="shared" si="105"/>
        <v>0</v>
      </c>
      <c r="AB66" s="53">
        <f t="shared" si="106"/>
        <v>0</v>
      </c>
      <c r="AC66" s="53">
        <f t="shared" si="107"/>
        <v>0</v>
      </c>
      <c r="AD66" s="53">
        <f t="shared" si="108"/>
        <v>0</v>
      </c>
      <c r="AE66" s="53">
        <f t="shared" si="109"/>
        <v>0</v>
      </c>
      <c r="AF66" s="53">
        <f t="shared" si="110"/>
        <v>0</v>
      </c>
      <c r="AG66" s="53">
        <f t="shared" si="111"/>
        <v>0</v>
      </c>
      <c r="AH66" s="53">
        <f t="shared" si="112"/>
        <v>0</v>
      </c>
      <c r="AI66" s="36" t="s">
        <v>10</v>
      </c>
      <c r="AJ66" s="53">
        <f t="shared" si="113"/>
        <v>0</v>
      </c>
      <c r="AK66" s="53">
        <f t="shared" si="114"/>
        <v>0</v>
      </c>
      <c r="AL66" s="53">
        <f t="shared" si="115"/>
        <v>0</v>
      </c>
      <c r="AN66" s="53">
        <v>21</v>
      </c>
      <c r="AO66" s="53">
        <f>G66*0.56170706</f>
        <v>0</v>
      </c>
      <c r="AP66" s="53">
        <f>G66*(1-0.56170706)</f>
        <v>0</v>
      </c>
      <c r="AQ66" s="54" t="s">
        <v>110</v>
      </c>
      <c r="AV66" s="53">
        <f t="shared" si="116"/>
        <v>0</v>
      </c>
      <c r="AW66" s="53">
        <f t="shared" si="117"/>
        <v>0</v>
      </c>
      <c r="AX66" s="53">
        <f t="shared" si="118"/>
        <v>0</v>
      </c>
      <c r="AY66" s="54" t="s">
        <v>269</v>
      </c>
      <c r="AZ66" s="54" t="s">
        <v>270</v>
      </c>
      <c r="BA66" s="36" t="s">
        <v>116</v>
      </c>
      <c r="BC66" s="53">
        <f t="shared" si="119"/>
        <v>0</v>
      </c>
      <c r="BD66" s="53">
        <f t="shared" si="120"/>
        <v>0</v>
      </c>
      <c r="BE66" s="53">
        <v>0</v>
      </c>
      <c r="BF66" s="53">
        <f>66</f>
        <v>66</v>
      </c>
      <c r="BH66" s="53">
        <f t="shared" si="121"/>
        <v>0</v>
      </c>
      <c r="BI66" s="53">
        <f t="shared" si="122"/>
        <v>0</v>
      </c>
      <c r="BJ66" s="53">
        <f t="shared" si="123"/>
        <v>0</v>
      </c>
      <c r="BK66" s="54" t="s">
        <v>117</v>
      </c>
      <c r="BL66" s="53">
        <v>61</v>
      </c>
      <c r="BW66" s="53">
        <v>21</v>
      </c>
      <c r="BX66" s="3" t="s">
        <v>273</v>
      </c>
    </row>
    <row r="67" spans="1:76" ht="23" x14ac:dyDescent="0.35">
      <c r="A67" s="1" t="s">
        <v>274</v>
      </c>
      <c r="B67" s="2" t="s">
        <v>275</v>
      </c>
      <c r="C67" s="91" t="s">
        <v>276</v>
      </c>
      <c r="D67" s="88"/>
      <c r="E67" s="2" t="s">
        <v>113</v>
      </c>
      <c r="F67" s="53">
        <v>32.5</v>
      </c>
      <c r="G67" s="77">
        <v>0</v>
      </c>
      <c r="H67" s="53">
        <f t="shared" si="104"/>
        <v>0</v>
      </c>
      <c r="I67" s="79" t="s">
        <v>1688</v>
      </c>
      <c r="J67" s="49"/>
      <c r="Z67" s="53">
        <f t="shared" si="105"/>
        <v>0</v>
      </c>
      <c r="AB67" s="53">
        <f t="shared" si="106"/>
        <v>0</v>
      </c>
      <c r="AC67" s="53">
        <f t="shared" si="107"/>
        <v>0</v>
      </c>
      <c r="AD67" s="53">
        <f t="shared" si="108"/>
        <v>0</v>
      </c>
      <c r="AE67" s="53">
        <f t="shared" si="109"/>
        <v>0</v>
      </c>
      <c r="AF67" s="53">
        <f t="shared" si="110"/>
        <v>0</v>
      </c>
      <c r="AG67" s="53">
        <f t="shared" si="111"/>
        <v>0</v>
      </c>
      <c r="AH67" s="53">
        <f t="shared" si="112"/>
        <v>0</v>
      </c>
      <c r="AI67" s="36" t="s">
        <v>10</v>
      </c>
      <c r="AJ67" s="53">
        <f t="shared" si="113"/>
        <v>0</v>
      </c>
      <c r="AK67" s="53">
        <f t="shared" si="114"/>
        <v>0</v>
      </c>
      <c r="AL67" s="53">
        <f t="shared" si="115"/>
        <v>0</v>
      </c>
      <c r="AN67" s="53">
        <v>21</v>
      </c>
      <c r="AO67" s="53">
        <f>G67*0.168122284</f>
        <v>0</v>
      </c>
      <c r="AP67" s="53">
        <f>G67*(1-0.168122284)</f>
        <v>0</v>
      </c>
      <c r="AQ67" s="54" t="s">
        <v>110</v>
      </c>
      <c r="AV67" s="53">
        <f t="shared" si="116"/>
        <v>0</v>
      </c>
      <c r="AW67" s="53">
        <f t="shared" si="117"/>
        <v>0</v>
      </c>
      <c r="AX67" s="53">
        <f t="shared" si="118"/>
        <v>0</v>
      </c>
      <c r="AY67" s="54" t="s">
        <v>269</v>
      </c>
      <c r="AZ67" s="54" t="s">
        <v>270</v>
      </c>
      <c r="BA67" s="36" t="s">
        <v>116</v>
      </c>
      <c r="BC67" s="53">
        <f t="shared" si="119"/>
        <v>0</v>
      </c>
      <c r="BD67" s="53">
        <f t="shared" si="120"/>
        <v>0</v>
      </c>
      <c r="BE67" s="53">
        <v>0</v>
      </c>
      <c r="BF67" s="53">
        <f>67</f>
        <v>67</v>
      </c>
      <c r="BH67" s="53">
        <f t="shared" si="121"/>
        <v>0</v>
      </c>
      <c r="BI67" s="53">
        <f t="shared" si="122"/>
        <v>0</v>
      </c>
      <c r="BJ67" s="53">
        <f t="shared" si="123"/>
        <v>0</v>
      </c>
      <c r="BK67" s="54" t="s">
        <v>117</v>
      </c>
      <c r="BL67" s="53">
        <v>61</v>
      </c>
      <c r="BW67" s="53">
        <v>21</v>
      </c>
      <c r="BX67" s="3" t="s">
        <v>276</v>
      </c>
    </row>
    <row r="68" spans="1:76" ht="23" x14ac:dyDescent="0.35">
      <c r="A68" s="1" t="s">
        <v>277</v>
      </c>
      <c r="B68" s="2" t="s">
        <v>278</v>
      </c>
      <c r="C68" s="91" t="s">
        <v>279</v>
      </c>
      <c r="D68" s="88"/>
      <c r="E68" s="2" t="s">
        <v>113</v>
      </c>
      <c r="F68" s="53">
        <v>80</v>
      </c>
      <c r="G68" s="77">
        <v>0</v>
      </c>
      <c r="H68" s="53">
        <f t="shared" si="104"/>
        <v>0</v>
      </c>
      <c r="I68" s="79" t="s">
        <v>1688</v>
      </c>
      <c r="J68" s="49"/>
      <c r="Z68" s="53">
        <f t="shared" si="105"/>
        <v>0</v>
      </c>
      <c r="AB68" s="53">
        <f t="shared" si="106"/>
        <v>0</v>
      </c>
      <c r="AC68" s="53">
        <f t="shared" si="107"/>
        <v>0</v>
      </c>
      <c r="AD68" s="53">
        <f t="shared" si="108"/>
        <v>0</v>
      </c>
      <c r="AE68" s="53">
        <f t="shared" si="109"/>
        <v>0</v>
      </c>
      <c r="AF68" s="53">
        <f t="shared" si="110"/>
        <v>0</v>
      </c>
      <c r="AG68" s="53">
        <f t="shared" si="111"/>
        <v>0</v>
      </c>
      <c r="AH68" s="53">
        <f t="shared" si="112"/>
        <v>0</v>
      </c>
      <c r="AI68" s="36" t="s">
        <v>10</v>
      </c>
      <c r="AJ68" s="53">
        <f t="shared" si="113"/>
        <v>0</v>
      </c>
      <c r="AK68" s="53">
        <f t="shared" si="114"/>
        <v>0</v>
      </c>
      <c r="AL68" s="53">
        <f t="shared" si="115"/>
        <v>0</v>
      </c>
      <c r="AN68" s="53">
        <v>21</v>
      </c>
      <c r="AO68" s="53">
        <f>G68*0.315864806</f>
        <v>0</v>
      </c>
      <c r="AP68" s="53">
        <f>G68*(1-0.315864806)</f>
        <v>0</v>
      </c>
      <c r="AQ68" s="54" t="s">
        <v>110</v>
      </c>
      <c r="AV68" s="53">
        <f t="shared" si="116"/>
        <v>0</v>
      </c>
      <c r="AW68" s="53">
        <f t="shared" si="117"/>
        <v>0</v>
      </c>
      <c r="AX68" s="53">
        <f t="shared" si="118"/>
        <v>0</v>
      </c>
      <c r="AY68" s="54" t="s">
        <v>269</v>
      </c>
      <c r="AZ68" s="54" t="s">
        <v>270</v>
      </c>
      <c r="BA68" s="36" t="s">
        <v>116</v>
      </c>
      <c r="BC68" s="53">
        <f t="shared" si="119"/>
        <v>0</v>
      </c>
      <c r="BD68" s="53">
        <f t="shared" si="120"/>
        <v>0</v>
      </c>
      <c r="BE68" s="53">
        <v>0</v>
      </c>
      <c r="BF68" s="53">
        <f>68</f>
        <v>68</v>
      </c>
      <c r="BH68" s="53">
        <f t="shared" si="121"/>
        <v>0</v>
      </c>
      <c r="BI68" s="53">
        <f t="shared" si="122"/>
        <v>0</v>
      </c>
      <c r="BJ68" s="53">
        <f t="shared" si="123"/>
        <v>0</v>
      </c>
      <c r="BK68" s="54" t="s">
        <v>117</v>
      </c>
      <c r="BL68" s="53">
        <v>61</v>
      </c>
      <c r="BW68" s="53">
        <v>21</v>
      </c>
      <c r="BX68" s="3" t="s">
        <v>279</v>
      </c>
    </row>
    <row r="69" spans="1:76" ht="23" x14ac:dyDescent="0.35">
      <c r="A69" s="1" t="s">
        <v>280</v>
      </c>
      <c r="B69" s="2" t="s">
        <v>281</v>
      </c>
      <c r="C69" s="91" t="s">
        <v>282</v>
      </c>
      <c r="D69" s="88"/>
      <c r="E69" s="2" t="s">
        <v>113</v>
      </c>
      <c r="F69" s="53">
        <v>104.28</v>
      </c>
      <c r="G69" s="77">
        <v>0</v>
      </c>
      <c r="H69" s="53">
        <f t="shared" si="104"/>
        <v>0</v>
      </c>
      <c r="I69" s="79" t="s">
        <v>1688</v>
      </c>
      <c r="J69" s="49"/>
      <c r="Z69" s="53">
        <f t="shared" si="105"/>
        <v>0</v>
      </c>
      <c r="AB69" s="53">
        <f t="shared" si="106"/>
        <v>0</v>
      </c>
      <c r="AC69" s="53">
        <f t="shared" si="107"/>
        <v>0</v>
      </c>
      <c r="AD69" s="53">
        <f t="shared" si="108"/>
        <v>0</v>
      </c>
      <c r="AE69" s="53">
        <f t="shared" si="109"/>
        <v>0</v>
      </c>
      <c r="AF69" s="53">
        <f t="shared" si="110"/>
        <v>0</v>
      </c>
      <c r="AG69" s="53">
        <f t="shared" si="111"/>
        <v>0</v>
      </c>
      <c r="AH69" s="53">
        <f t="shared" si="112"/>
        <v>0</v>
      </c>
      <c r="AI69" s="36" t="s">
        <v>10</v>
      </c>
      <c r="AJ69" s="53">
        <f t="shared" si="113"/>
        <v>0</v>
      </c>
      <c r="AK69" s="53">
        <f t="shared" si="114"/>
        <v>0</v>
      </c>
      <c r="AL69" s="53">
        <f t="shared" si="115"/>
        <v>0</v>
      </c>
      <c r="AN69" s="53">
        <v>21</v>
      </c>
      <c r="AO69" s="53">
        <f>G69*0.404643289</f>
        <v>0</v>
      </c>
      <c r="AP69" s="53">
        <f>G69*(1-0.404643289)</f>
        <v>0</v>
      </c>
      <c r="AQ69" s="54" t="s">
        <v>110</v>
      </c>
      <c r="AV69" s="53">
        <f t="shared" si="116"/>
        <v>0</v>
      </c>
      <c r="AW69" s="53">
        <f t="shared" si="117"/>
        <v>0</v>
      </c>
      <c r="AX69" s="53">
        <f t="shared" si="118"/>
        <v>0</v>
      </c>
      <c r="AY69" s="54" t="s">
        <v>269</v>
      </c>
      <c r="AZ69" s="54" t="s">
        <v>270</v>
      </c>
      <c r="BA69" s="36" t="s">
        <v>116</v>
      </c>
      <c r="BC69" s="53">
        <f t="shared" si="119"/>
        <v>0</v>
      </c>
      <c r="BD69" s="53">
        <f t="shared" si="120"/>
        <v>0</v>
      </c>
      <c r="BE69" s="53">
        <v>0</v>
      </c>
      <c r="BF69" s="53">
        <f>69</f>
        <v>69</v>
      </c>
      <c r="BH69" s="53">
        <f t="shared" si="121"/>
        <v>0</v>
      </c>
      <c r="BI69" s="53">
        <f t="shared" si="122"/>
        <v>0</v>
      </c>
      <c r="BJ69" s="53">
        <f t="shared" si="123"/>
        <v>0</v>
      </c>
      <c r="BK69" s="54" t="s">
        <v>117</v>
      </c>
      <c r="BL69" s="53">
        <v>61</v>
      </c>
      <c r="BW69" s="53">
        <v>21</v>
      </c>
      <c r="BX69" s="3" t="s">
        <v>282</v>
      </c>
    </row>
    <row r="70" spans="1:76" ht="23" x14ac:dyDescent="0.35">
      <c r="A70" s="1" t="s">
        <v>283</v>
      </c>
      <c r="B70" s="2" t="s">
        <v>284</v>
      </c>
      <c r="C70" s="91" t="s">
        <v>285</v>
      </c>
      <c r="D70" s="88"/>
      <c r="E70" s="2" t="s">
        <v>113</v>
      </c>
      <c r="F70" s="53">
        <v>106</v>
      </c>
      <c r="G70" s="77">
        <v>0</v>
      </c>
      <c r="H70" s="53">
        <f t="shared" si="104"/>
        <v>0</v>
      </c>
      <c r="I70" s="79" t="s">
        <v>1688</v>
      </c>
      <c r="J70" s="49"/>
      <c r="Z70" s="53">
        <f t="shared" si="105"/>
        <v>0</v>
      </c>
      <c r="AB70" s="53">
        <f t="shared" si="106"/>
        <v>0</v>
      </c>
      <c r="AC70" s="53">
        <f t="shared" si="107"/>
        <v>0</v>
      </c>
      <c r="AD70" s="53">
        <f t="shared" si="108"/>
        <v>0</v>
      </c>
      <c r="AE70" s="53">
        <f t="shared" si="109"/>
        <v>0</v>
      </c>
      <c r="AF70" s="53">
        <f t="shared" si="110"/>
        <v>0</v>
      </c>
      <c r="AG70" s="53">
        <f t="shared" si="111"/>
        <v>0</v>
      </c>
      <c r="AH70" s="53">
        <f t="shared" si="112"/>
        <v>0</v>
      </c>
      <c r="AI70" s="36" t="s">
        <v>10</v>
      </c>
      <c r="AJ70" s="53">
        <f t="shared" si="113"/>
        <v>0</v>
      </c>
      <c r="AK70" s="53">
        <f t="shared" si="114"/>
        <v>0</v>
      </c>
      <c r="AL70" s="53">
        <f t="shared" si="115"/>
        <v>0</v>
      </c>
      <c r="AN70" s="53">
        <v>21</v>
      </c>
      <c r="AO70" s="53">
        <f>G70*0.272510232</f>
        <v>0</v>
      </c>
      <c r="AP70" s="53">
        <f>G70*(1-0.272510232)</f>
        <v>0</v>
      </c>
      <c r="AQ70" s="54" t="s">
        <v>110</v>
      </c>
      <c r="AV70" s="53">
        <f t="shared" si="116"/>
        <v>0</v>
      </c>
      <c r="AW70" s="53">
        <f t="shared" si="117"/>
        <v>0</v>
      </c>
      <c r="AX70" s="53">
        <f t="shared" si="118"/>
        <v>0</v>
      </c>
      <c r="AY70" s="54" t="s">
        <v>269</v>
      </c>
      <c r="AZ70" s="54" t="s">
        <v>270</v>
      </c>
      <c r="BA70" s="36" t="s">
        <v>116</v>
      </c>
      <c r="BC70" s="53">
        <f t="shared" si="119"/>
        <v>0</v>
      </c>
      <c r="BD70" s="53">
        <f t="shared" si="120"/>
        <v>0</v>
      </c>
      <c r="BE70" s="53">
        <v>0</v>
      </c>
      <c r="BF70" s="53">
        <f>70</f>
        <v>70</v>
      </c>
      <c r="BH70" s="53">
        <f t="shared" si="121"/>
        <v>0</v>
      </c>
      <c r="BI70" s="53">
        <f t="shared" si="122"/>
        <v>0</v>
      </c>
      <c r="BJ70" s="53">
        <f t="shared" si="123"/>
        <v>0</v>
      </c>
      <c r="BK70" s="54" t="s">
        <v>117</v>
      </c>
      <c r="BL70" s="53">
        <v>61</v>
      </c>
      <c r="BW70" s="53">
        <v>21</v>
      </c>
      <c r="BX70" s="3" t="s">
        <v>285</v>
      </c>
    </row>
    <row r="71" spans="1:76" ht="14.5" x14ac:dyDescent="0.35">
      <c r="A71" s="50" t="s">
        <v>10</v>
      </c>
      <c r="B71" s="51" t="s">
        <v>286</v>
      </c>
      <c r="C71" s="172" t="s">
        <v>287</v>
      </c>
      <c r="D71" s="173"/>
      <c r="E71" s="52" t="s">
        <v>75</v>
      </c>
      <c r="F71" s="52" t="s">
        <v>75</v>
      </c>
      <c r="G71" s="52" t="s">
        <v>75</v>
      </c>
      <c r="H71" s="28">
        <f>SUM(H72:H75)</f>
        <v>0</v>
      </c>
      <c r="I71" s="36" t="s">
        <v>10</v>
      </c>
      <c r="J71" s="49"/>
      <c r="AI71" s="36" t="s">
        <v>10</v>
      </c>
      <c r="AS71" s="28">
        <f>SUM(AJ72:AJ75)</f>
        <v>0</v>
      </c>
      <c r="AT71" s="28">
        <f>SUM(AK72:AK75)</f>
        <v>0</v>
      </c>
      <c r="AU71" s="28">
        <f>SUM(AL72:AL75)</f>
        <v>0</v>
      </c>
    </row>
    <row r="72" spans="1:76" ht="23" x14ac:dyDescent="0.35">
      <c r="A72" s="1" t="s">
        <v>288</v>
      </c>
      <c r="B72" s="2" t="s">
        <v>289</v>
      </c>
      <c r="C72" s="91" t="s">
        <v>290</v>
      </c>
      <c r="D72" s="88"/>
      <c r="E72" s="2" t="s">
        <v>113</v>
      </c>
      <c r="F72" s="53">
        <v>473.4</v>
      </c>
      <c r="G72" s="77">
        <v>0</v>
      </c>
      <c r="H72" s="53">
        <f>ROUND(F72*G72,2)</f>
        <v>0</v>
      </c>
      <c r="I72" s="79" t="s">
        <v>1688</v>
      </c>
      <c r="J72" s="49"/>
      <c r="Z72" s="53">
        <f>ROUND(IF(AQ72="5",BJ72,0),2)</f>
        <v>0</v>
      </c>
      <c r="AB72" s="53">
        <f>ROUND(IF(AQ72="1",BH72,0),2)</f>
        <v>0</v>
      </c>
      <c r="AC72" s="53">
        <f>ROUND(IF(AQ72="1",BI72,0),2)</f>
        <v>0</v>
      </c>
      <c r="AD72" s="53">
        <f>ROUND(IF(AQ72="7",BH72,0),2)</f>
        <v>0</v>
      </c>
      <c r="AE72" s="53">
        <f>ROUND(IF(AQ72="7",BI72,0),2)</f>
        <v>0</v>
      </c>
      <c r="AF72" s="53">
        <f>ROUND(IF(AQ72="2",BH72,0),2)</f>
        <v>0</v>
      </c>
      <c r="AG72" s="53">
        <f>ROUND(IF(AQ72="2",BI72,0),2)</f>
        <v>0</v>
      </c>
      <c r="AH72" s="53">
        <f>ROUND(IF(AQ72="0",BJ72,0),2)</f>
        <v>0</v>
      </c>
      <c r="AI72" s="36" t="s">
        <v>10</v>
      </c>
      <c r="AJ72" s="53">
        <f>IF(AN72=0,H72,0)</f>
        <v>0</v>
      </c>
      <c r="AK72" s="53">
        <f>IF(AN72=12,H72,0)</f>
        <v>0</v>
      </c>
      <c r="AL72" s="53">
        <f>IF(AN72=21,H72,0)</f>
        <v>0</v>
      </c>
      <c r="AN72" s="53">
        <v>21</v>
      </c>
      <c r="AO72" s="53">
        <f>G72*0</f>
        <v>0</v>
      </c>
      <c r="AP72" s="53">
        <f>G72*(1-0)</f>
        <v>0</v>
      </c>
      <c r="AQ72" s="54" t="s">
        <v>110</v>
      </c>
      <c r="AV72" s="53">
        <f>ROUND(AW72+AX72,2)</f>
        <v>0</v>
      </c>
      <c r="AW72" s="53">
        <f>ROUND(F72*AO72,2)</f>
        <v>0</v>
      </c>
      <c r="AX72" s="53">
        <f>ROUND(F72*AP72,2)</f>
        <v>0</v>
      </c>
      <c r="AY72" s="54" t="s">
        <v>291</v>
      </c>
      <c r="AZ72" s="54" t="s">
        <v>270</v>
      </c>
      <c r="BA72" s="36" t="s">
        <v>116</v>
      </c>
      <c r="BC72" s="53">
        <f>AW72+AX72</f>
        <v>0</v>
      </c>
      <c r="BD72" s="53">
        <f>G72/(100-BE72)*100</f>
        <v>0</v>
      </c>
      <c r="BE72" s="53">
        <v>0</v>
      </c>
      <c r="BF72" s="53">
        <f>72</f>
        <v>72</v>
      </c>
      <c r="BH72" s="53">
        <f>F72*AO72</f>
        <v>0</v>
      </c>
      <c r="BI72" s="53">
        <f>F72*AP72</f>
        <v>0</v>
      </c>
      <c r="BJ72" s="53">
        <f>F72*G72</f>
        <v>0</v>
      </c>
      <c r="BK72" s="54" t="s">
        <v>117</v>
      </c>
      <c r="BL72" s="53">
        <v>63</v>
      </c>
      <c r="BW72" s="53">
        <v>21</v>
      </c>
      <c r="BX72" s="3" t="s">
        <v>290</v>
      </c>
    </row>
    <row r="73" spans="1:76" ht="23" x14ac:dyDescent="0.35">
      <c r="A73" s="1" t="s">
        <v>292</v>
      </c>
      <c r="B73" s="2" t="s">
        <v>293</v>
      </c>
      <c r="C73" s="91" t="s">
        <v>294</v>
      </c>
      <c r="D73" s="88"/>
      <c r="E73" s="2" t="s">
        <v>143</v>
      </c>
      <c r="F73" s="53">
        <v>28.22</v>
      </c>
      <c r="G73" s="77">
        <v>0</v>
      </c>
      <c r="H73" s="53">
        <f>ROUND(F73*G73,2)</f>
        <v>0</v>
      </c>
      <c r="I73" s="79" t="s">
        <v>1688</v>
      </c>
      <c r="J73" s="49"/>
      <c r="Z73" s="53">
        <f>ROUND(IF(AQ73="5",BJ73,0),2)</f>
        <v>0</v>
      </c>
      <c r="AB73" s="53">
        <f>ROUND(IF(AQ73="1",BH73,0),2)</f>
        <v>0</v>
      </c>
      <c r="AC73" s="53">
        <f>ROUND(IF(AQ73="1",BI73,0),2)</f>
        <v>0</v>
      </c>
      <c r="AD73" s="53">
        <f>ROUND(IF(AQ73="7",BH73,0),2)</f>
        <v>0</v>
      </c>
      <c r="AE73" s="53">
        <f>ROUND(IF(AQ73="7",BI73,0),2)</f>
        <v>0</v>
      </c>
      <c r="AF73" s="53">
        <f>ROUND(IF(AQ73="2",BH73,0),2)</f>
        <v>0</v>
      </c>
      <c r="AG73" s="53">
        <f>ROUND(IF(AQ73="2",BI73,0),2)</f>
        <v>0</v>
      </c>
      <c r="AH73" s="53">
        <f>ROUND(IF(AQ73="0",BJ73,0),2)</f>
        <v>0</v>
      </c>
      <c r="AI73" s="36" t="s">
        <v>10</v>
      </c>
      <c r="AJ73" s="53">
        <f>IF(AN73=0,H73,0)</f>
        <v>0</v>
      </c>
      <c r="AK73" s="53">
        <f>IF(AN73=12,H73,0)</f>
        <v>0</v>
      </c>
      <c r="AL73" s="53">
        <f>IF(AN73=21,H73,0)</f>
        <v>0</v>
      </c>
      <c r="AN73" s="53">
        <v>21</v>
      </c>
      <c r="AO73" s="53">
        <f>G73*0.784614073</f>
        <v>0</v>
      </c>
      <c r="AP73" s="53">
        <f>G73*(1-0.784614073)</f>
        <v>0</v>
      </c>
      <c r="AQ73" s="54" t="s">
        <v>110</v>
      </c>
      <c r="AV73" s="53">
        <f>ROUND(AW73+AX73,2)</f>
        <v>0</v>
      </c>
      <c r="AW73" s="53">
        <f>ROUND(F73*AO73,2)</f>
        <v>0</v>
      </c>
      <c r="AX73" s="53">
        <f>ROUND(F73*AP73,2)</f>
        <v>0</v>
      </c>
      <c r="AY73" s="54" t="s">
        <v>291</v>
      </c>
      <c r="AZ73" s="54" t="s">
        <v>270</v>
      </c>
      <c r="BA73" s="36" t="s">
        <v>116</v>
      </c>
      <c r="BC73" s="53">
        <f>AW73+AX73</f>
        <v>0</v>
      </c>
      <c r="BD73" s="53">
        <f>G73/(100-BE73)*100</f>
        <v>0</v>
      </c>
      <c r="BE73" s="53">
        <v>0</v>
      </c>
      <c r="BF73" s="53">
        <f>73</f>
        <v>73</v>
      </c>
      <c r="BH73" s="53">
        <f>F73*AO73</f>
        <v>0</v>
      </c>
      <c r="BI73" s="53">
        <f>F73*AP73</f>
        <v>0</v>
      </c>
      <c r="BJ73" s="53">
        <f>F73*G73</f>
        <v>0</v>
      </c>
      <c r="BK73" s="54" t="s">
        <v>117</v>
      </c>
      <c r="BL73" s="53">
        <v>63</v>
      </c>
      <c r="BW73" s="53">
        <v>21</v>
      </c>
      <c r="BX73" s="3" t="s">
        <v>294</v>
      </c>
    </row>
    <row r="74" spans="1:76" ht="23" x14ac:dyDescent="0.35">
      <c r="A74" s="1" t="s">
        <v>295</v>
      </c>
      <c r="B74" s="2" t="s">
        <v>296</v>
      </c>
      <c r="C74" s="91" t="s">
        <v>297</v>
      </c>
      <c r="D74" s="88"/>
      <c r="E74" s="2" t="s">
        <v>143</v>
      </c>
      <c r="F74" s="53">
        <v>4.32</v>
      </c>
      <c r="G74" s="77">
        <v>0</v>
      </c>
      <c r="H74" s="53">
        <f>ROUND(F74*G74,2)</f>
        <v>0</v>
      </c>
      <c r="I74" s="79" t="s">
        <v>1688</v>
      </c>
      <c r="J74" s="49"/>
      <c r="Z74" s="53">
        <f>ROUND(IF(AQ74="5",BJ74,0),2)</f>
        <v>0</v>
      </c>
      <c r="AB74" s="53">
        <f>ROUND(IF(AQ74="1",BH74,0),2)</f>
        <v>0</v>
      </c>
      <c r="AC74" s="53">
        <f>ROUND(IF(AQ74="1",BI74,0),2)</f>
        <v>0</v>
      </c>
      <c r="AD74" s="53">
        <f>ROUND(IF(AQ74="7",BH74,0),2)</f>
        <v>0</v>
      </c>
      <c r="AE74" s="53">
        <f>ROUND(IF(AQ74="7",BI74,0),2)</f>
        <v>0</v>
      </c>
      <c r="AF74" s="53">
        <f>ROUND(IF(AQ74="2",BH74,0),2)</f>
        <v>0</v>
      </c>
      <c r="AG74" s="53">
        <f>ROUND(IF(AQ74="2",BI74,0),2)</f>
        <v>0</v>
      </c>
      <c r="AH74" s="53">
        <f>ROUND(IF(AQ74="0",BJ74,0),2)</f>
        <v>0</v>
      </c>
      <c r="AI74" s="36" t="s">
        <v>10</v>
      </c>
      <c r="AJ74" s="53">
        <f>IF(AN74=0,H74,0)</f>
        <v>0</v>
      </c>
      <c r="AK74" s="53">
        <f>IF(AN74=12,H74,0)</f>
        <v>0</v>
      </c>
      <c r="AL74" s="53">
        <f>IF(AN74=21,H74,0)</f>
        <v>0</v>
      </c>
      <c r="AN74" s="53">
        <v>21</v>
      </c>
      <c r="AO74" s="53">
        <f>G74*0.70265952</f>
        <v>0</v>
      </c>
      <c r="AP74" s="53">
        <f>G74*(1-0.70265952)</f>
        <v>0</v>
      </c>
      <c r="AQ74" s="54" t="s">
        <v>110</v>
      </c>
      <c r="AV74" s="53">
        <f>ROUND(AW74+AX74,2)</f>
        <v>0</v>
      </c>
      <c r="AW74" s="53">
        <f>ROUND(F74*AO74,2)</f>
        <v>0</v>
      </c>
      <c r="AX74" s="53">
        <f>ROUND(F74*AP74,2)</f>
        <v>0</v>
      </c>
      <c r="AY74" s="54" t="s">
        <v>291</v>
      </c>
      <c r="AZ74" s="54" t="s">
        <v>270</v>
      </c>
      <c r="BA74" s="36" t="s">
        <v>116</v>
      </c>
      <c r="BC74" s="53">
        <f>AW74+AX74</f>
        <v>0</v>
      </c>
      <c r="BD74" s="53">
        <f>G74/(100-BE74)*100</f>
        <v>0</v>
      </c>
      <c r="BE74" s="53">
        <v>0</v>
      </c>
      <c r="BF74" s="53">
        <f>74</f>
        <v>74</v>
      </c>
      <c r="BH74" s="53">
        <f>F74*AO74</f>
        <v>0</v>
      </c>
      <c r="BI74" s="53">
        <f>F74*AP74</f>
        <v>0</v>
      </c>
      <c r="BJ74" s="53">
        <f>F74*G74</f>
        <v>0</v>
      </c>
      <c r="BK74" s="54" t="s">
        <v>117</v>
      </c>
      <c r="BL74" s="53">
        <v>63</v>
      </c>
      <c r="BW74" s="53">
        <v>21</v>
      </c>
      <c r="BX74" s="3" t="s">
        <v>297</v>
      </c>
    </row>
    <row r="75" spans="1:76" ht="23" x14ac:dyDescent="0.35">
      <c r="A75" s="1" t="s">
        <v>298</v>
      </c>
      <c r="B75" s="2" t="s">
        <v>299</v>
      </c>
      <c r="C75" s="91" t="s">
        <v>300</v>
      </c>
      <c r="D75" s="88"/>
      <c r="E75" s="2" t="s">
        <v>113</v>
      </c>
      <c r="F75" s="53">
        <v>2</v>
      </c>
      <c r="G75" s="77">
        <v>0</v>
      </c>
      <c r="H75" s="53">
        <f>ROUND(F75*G75,2)</f>
        <v>0</v>
      </c>
      <c r="I75" s="79" t="s">
        <v>1688</v>
      </c>
      <c r="J75" s="49"/>
      <c r="Z75" s="53">
        <f>ROUND(IF(AQ75="5",BJ75,0),2)</f>
        <v>0</v>
      </c>
      <c r="AB75" s="53">
        <f>ROUND(IF(AQ75="1",BH75,0),2)</f>
        <v>0</v>
      </c>
      <c r="AC75" s="53">
        <f>ROUND(IF(AQ75="1",BI75,0),2)</f>
        <v>0</v>
      </c>
      <c r="AD75" s="53">
        <f>ROUND(IF(AQ75="7",BH75,0),2)</f>
        <v>0</v>
      </c>
      <c r="AE75" s="53">
        <f>ROUND(IF(AQ75="7",BI75,0),2)</f>
        <v>0</v>
      </c>
      <c r="AF75" s="53">
        <f>ROUND(IF(AQ75="2",BH75,0),2)</f>
        <v>0</v>
      </c>
      <c r="AG75" s="53">
        <f>ROUND(IF(AQ75="2",BI75,0),2)</f>
        <v>0</v>
      </c>
      <c r="AH75" s="53">
        <f>ROUND(IF(AQ75="0",BJ75,0),2)</f>
        <v>0</v>
      </c>
      <c r="AI75" s="36" t="s">
        <v>10</v>
      </c>
      <c r="AJ75" s="53">
        <f>IF(AN75=0,H75,0)</f>
        <v>0</v>
      </c>
      <c r="AK75" s="53">
        <f>IF(AN75=12,H75,0)</f>
        <v>0</v>
      </c>
      <c r="AL75" s="53">
        <f>IF(AN75=21,H75,0)</f>
        <v>0</v>
      </c>
      <c r="AN75" s="53">
        <v>21</v>
      </c>
      <c r="AO75" s="53">
        <f>G75*0.566778243</f>
        <v>0</v>
      </c>
      <c r="AP75" s="53">
        <f>G75*(1-0.566778243)</f>
        <v>0</v>
      </c>
      <c r="AQ75" s="54" t="s">
        <v>110</v>
      </c>
      <c r="AV75" s="53">
        <f>ROUND(AW75+AX75,2)</f>
        <v>0</v>
      </c>
      <c r="AW75" s="53">
        <f>ROUND(F75*AO75,2)</f>
        <v>0</v>
      </c>
      <c r="AX75" s="53">
        <f>ROUND(F75*AP75,2)</f>
        <v>0</v>
      </c>
      <c r="AY75" s="54" t="s">
        <v>291</v>
      </c>
      <c r="AZ75" s="54" t="s">
        <v>270</v>
      </c>
      <c r="BA75" s="36" t="s">
        <v>116</v>
      </c>
      <c r="BC75" s="53">
        <f>AW75+AX75</f>
        <v>0</v>
      </c>
      <c r="BD75" s="53">
        <f>G75/(100-BE75)*100</f>
        <v>0</v>
      </c>
      <c r="BE75" s="53">
        <v>0</v>
      </c>
      <c r="BF75" s="53">
        <f>75</f>
        <v>75</v>
      </c>
      <c r="BH75" s="53">
        <f>F75*AO75</f>
        <v>0</v>
      </c>
      <c r="BI75" s="53">
        <f>F75*AP75</f>
        <v>0</v>
      </c>
      <c r="BJ75" s="53">
        <f>F75*G75</f>
        <v>0</v>
      </c>
      <c r="BK75" s="54" t="s">
        <v>117</v>
      </c>
      <c r="BL75" s="53">
        <v>63</v>
      </c>
      <c r="BW75" s="53">
        <v>21</v>
      </c>
      <c r="BX75" s="3" t="s">
        <v>300</v>
      </c>
    </row>
    <row r="76" spans="1:76" ht="14.5" x14ac:dyDescent="0.35">
      <c r="A76" s="50" t="s">
        <v>10</v>
      </c>
      <c r="B76" s="51" t="s">
        <v>301</v>
      </c>
      <c r="C76" s="172" t="s">
        <v>302</v>
      </c>
      <c r="D76" s="173"/>
      <c r="E76" s="52" t="s">
        <v>75</v>
      </c>
      <c r="F76" s="52" t="s">
        <v>75</v>
      </c>
      <c r="G76" s="52" t="s">
        <v>75</v>
      </c>
      <c r="H76" s="28">
        <f>SUM(H77:H77)</f>
        <v>0</v>
      </c>
      <c r="I76" s="36" t="s">
        <v>10</v>
      </c>
      <c r="J76" s="49"/>
      <c r="AI76" s="36" t="s">
        <v>10</v>
      </c>
      <c r="AS76" s="28">
        <f>SUM(AJ77:AJ77)</f>
        <v>0</v>
      </c>
      <c r="AT76" s="28">
        <f>SUM(AK77:AK77)</f>
        <v>0</v>
      </c>
      <c r="AU76" s="28">
        <f>SUM(AL77:AL77)</f>
        <v>0</v>
      </c>
    </row>
    <row r="77" spans="1:76" ht="23" x14ac:dyDescent="0.35">
      <c r="A77" s="1" t="s">
        <v>303</v>
      </c>
      <c r="B77" s="2" t="s">
        <v>304</v>
      </c>
      <c r="C77" s="91" t="s">
        <v>305</v>
      </c>
      <c r="D77" s="88"/>
      <c r="E77" s="2" t="s">
        <v>121</v>
      </c>
      <c r="F77" s="53">
        <v>31</v>
      </c>
      <c r="G77" s="77">
        <v>0</v>
      </c>
      <c r="H77" s="53">
        <f>ROUND(F77*G77,2)</f>
        <v>0</v>
      </c>
      <c r="I77" s="79" t="s">
        <v>1688</v>
      </c>
      <c r="J77" s="49"/>
      <c r="Z77" s="53">
        <f>ROUND(IF(AQ77="5",BJ77,0),2)</f>
        <v>0</v>
      </c>
      <c r="AB77" s="53">
        <f>ROUND(IF(AQ77="1",BH77,0),2)</f>
        <v>0</v>
      </c>
      <c r="AC77" s="53">
        <f>ROUND(IF(AQ77="1",BI77,0),2)</f>
        <v>0</v>
      </c>
      <c r="AD77" s="53">
        <f>ROUND(IF(AQ77="7",BH77,0),2)</f>
        <v>0</v>
      </c>
      <c r="AE77" s="53">
        <f>ROUND(IF(AQ77="7",BI77,0),2)</f>
        <v>0</v>
      </c>
      <c r="AF77" s="53">
        <f>ROUND(IF(AQ77="2",BH77,0),2)</f>
        <v>0</v>
      </c>
      <c r="AG77" s="53">
        <f>ROUND(IF(AQ77="2",BI77,0),2)</f>
        <v>0</v>
      </c>
      <c r="AH77" s="53">
        <f>ROUND(IF(AQ77="0",BJ77,0),2)</f>
        <v>0</v>
      </c>
      <c r="AI77" s="36" t="s">
        <v>10</v>
      </c>
      <c r="AJ77" s="53">
        <f>IF(AN77=0,H77,0)</f>
        <v>0</v>
      </c>
      <c r="AK77" s="53">
        <f>IF(AN77=12,H77,0)</f>
        <v>0</v>
      </c>
      <c r="AL77" s="53">
        <f>IF(AN77=21,H77,0)</f>
        <v>0</v>
      </c>
      <c r="AN77" s="53">
        <v>21</v>
      </c>
      <c r="AO77" s="53">
        <f>G77*0.633826616</f>
        <v>0</v>
      </c>
      <c r="AP77" s="53">
        <f>G77*(1-0.633826616)</f>
        <v>0</v>
      </c>
      <c r="AQ77" s="54" t="s">
        <v>110</v>
      </c>
      <c r="AV77" s="53">
        <f>ROUND(AW77+AX77,2)</f>
        <v>0</v>
      </c>
      <c r="AW77" s="53">
        <f>ROUND(F77*AO77,2)</f>
        <v>0</v>
      </c>
      <c r="AX77" s="53">
        <f>ROUND(F77*AP77,2)</f>
        <v>0</v>
      </c>
      <c r="AY77" s="54" t="s">
        <v>306</v>
      </c>
      <c r="AZ77" s="54" t="s">
        <v>270</v>
      </c>
      <c r="BA77" s="36" t="s">
        <v>116</v>
      </c>
      <c r="BC77" s="53">
        <f>AW77+AX77</f>
        <v>0</v>
      </c>
      <c r="BD77" s="53">
        <f>G77/(100-BE77)*100</f>
        <v>0</v>
      </c>
      <c r="BE77" s="53">
        <v>0</v>
      </c>
      <c r="BF77" s="53">
        <f>77</f>
        <v>77</v>
      </c>
      <c r="BH77" s="53">
        <f>F77*AO77</f>
        <v>0</v>
      </c>
      <c r="BI77" s="53">
        <f>F77*AP77</f>
        <v>0</v>
      </c>
      <c r="BJ77" s="53">
        <f>F77*G77</f>
        <v>0</v>
      </c>
      <c r="BK77" s="54" t="s">
        <v>117</v>
      </c>
      <c r="BL77" s="53">
        <v>64</v>
      </c>
      <c r="BW77" s="53">
        <v>21</v>
      </c>
      <c r="BX77" s="3" t="s">
        <v>305</v>
      </c>
    </row>
    <row r="78" spans="1:76" ht="14.5" x14ac:dyDescent="0.35">
      <c r="A78" s="50" t="s">
        <v>10</v>
      </c>
      <c r="B78" s="51" t="s">
        <v>307</v>
      </c>
      <c r="C78" s="172" t="s">
        <v>308</v>
      </c>
      <c r="D78" s="173"/>
      <c r="E78" s="52" t="s">
        <v>75</v>
      </c>
      <c r="F78" s="52" t="s">
        <v>75</v>
      </c>
      <c r="G78" s="52" t="s">
        <v>75</v>
      </c>
      <c r="H78" s="28">
        <f>SUM(H79:H79)</f>
        <v>0</v>
      </c>
      <c r="I78" s="36" t="s">
        <v>10</v>
      </c>
      <c r="J78" s="49"/>
      <c r="AI78" s="36" t="s">
        <v>10</v>
      </c>
      <c r="AS78" s="28">
        <f>SUM(AJ79:AJ79)</f>
        <v>0</v>
      </c>
      <c r="AT78" s="28">
        <f>SUM(AK79:AK79)</f>
        <v>0</v>
      </c>
      <c r="AU78" s="28">
        <f>SUM(AL79:AL79)</f>
        <v>0</v>
      </c>
    </row>
    <row r="79" spans="1:76" ht="23" x14ac:dyDescent="0.35">
      <c r="A79" s="1" t="s">
        <v>309</v>
      </c>
      <c r="B79" s="2" t="s">
        <v>310</v>
      </c>
      <c r="C79" s="156" t="s">
        <v>1690</v>
      </c>
      <c r="D79" s="88"/>
      <c r="E79" s="2" t="s">
        <v>113</v>
      </c>
      <c r="F79" s="53">
        <v>4</v>
      </c>
      <c r="G79" s="77">
        <v>0</v>
      </c>
      <c r="H79" s="53">
        <f>ROUND(F79*G79,2)</f>
        <v>0</v>
      </c>
      <c r="I79" s="79" t="s">
        <v>1688</v>
      </c>
      <c r="J79" s="49"/>
      <c r="Z79" s="53">
        <f>ROUND(IF(AQ79="5",BJ79,0),2)</f>
        <v>0</v>
      </c>
      <c r="AB79" s="53">
        <f>ROUND(IF(AQ79="1",BH79,0),2)</f>
        <v>0</v>
      </c>
      <c r="AC79" s="53">
        <f>ROUND(IF(AQ79="1",BI79,0),2)</f>
        <v>0</v>
      </c>
      <c r="AD79" s="53">
        <f>ROUND(IF(AQ79="7",BH79,0),2)</f>
        <v>0</v>
      </c>
      <c r="AE79" s="53">
        <f>ROUND(IF(AQ79="7",BI79,0),2)</f>
        <v>0</v>
      </c>
      <c r="AF79" s="53">
        <f>ROUND(IF(AQ79="2",BH79,0),2)</f>
        <v>0</v>
      </c>
      <c r="AG79" s="53">
        <f>ROUND(IF(AQ79="2",BI79,0),2)</f>
        <v>0</v>
      </c>
      <c r="AH79" s="53">
        <f>ROUND(IF(AQ79="0",BJ79,0),2)</f>
        <v>0</v>
      </c>
      <c r="AI79" s="36" t="s">
        <v>10</v>
      </c>
      <c r="AJ79" s="53">
        <f>IF(AN79=0,H79,0)</f>
        <v>0</v>
      </c>
      <c r="AK79" s="53">
        <f>IF(AN79=12,H79,0)</f>
        <v>0</v>
      </c>
      <c r="AL79" s="53">
        <f>IF(AN79=21,H79,0)</f>
        <v>0</v>
      </c>
      <c r="AN79" s="53">
        <v>21</v>
      </c>
      <c r="AO79" s="53">
        <f>G79*0.69277842</f>
        <v>0</v>
      </c>
      <c r="AP79" s="53">
        <f>G79*(1-0.69277842)</f>
        <v>0</v>
      </c>
      <c r="AQ79" s="54" t="s">
        <v>134</v>
      </c>
      <c r="AV79" s="53">
        <f>ROUND(AW79+AX79,2)</f>
        <v>0</v>
      </c>
      <c r="AW79" s="53">
        <f>ROUND(F79*AO79,2)</f>
        <v>0</v>
      </c>
      <c r="AX79" s="53">
        <f>ROUND(F79*AP79,2)</f>
        <v>0</v>
      </c>
      <c r="AY79" s="54" t="s">
        <v>312</v>
      </c>
      <c r="AZ79" s="54" t="s">
        <v>313</v>
      </c>
      <c r="BA79" s="36" t="s">
        <v>116</v>
      </c>
      <c r="BC79" s="53">
        <f>AW79+AX79</f>
        <v>0</v>
      </c>
      <c r="BD79" s="53">
        <f>G79/(100-BE79)*100</f>
        <v>0</v>
      </c>
      <c r="BE79" s="53">
        <v>0</v>
      </c>
      <c r="BF79" s="53">
        <f>79</f>
        <v>79</v>
      </c>
      <c r="BH79" s="53">
        <f>F79*AO79</f>
        <v>0</v>
      </c>
      <c r="BI79" s="53">
        <f>F79*AP79</f>
        <v>0</v>
      </c>
      <c r="BJ79" s="53">
        <f>F79*G79</f>
        <v>0</v>
      </c>
      <c r="BK79" s="54" t="s">
        <v>117</v>
      </c>
      <c r="BL79" s="53">
        <v>711</v>
      </c>
      <c r="BW79" s="53">
        <v>21</v>
      </c>
      <c r="BX79" s="3" t="s">
        <v>311</v>
      </c>
    </row>
    <row r="80" spans="1:76" ht="14.5" x14ac:dyDescent="0.35">
      <c r="A80" s="50" t="s">
        <v>10</v>
      </c>
      <c r="B80" s="51" t="s">
        <v>314</v>
      </c>
      <c r="C80" s="172" t="s">
        <v>315</v>
      </c>
      <c r="D80" s="173"/>
      <c r="E80" s="52" t="s">
        <v>75</v>
      </c>
      <c r="F80" s="52" t="s">
        <v>75</v>
      </c>
      <c r="G80" s="52" t="s">
        <v>75</v>
      </c>
      <c r="H80" s="28">
        <f>SUM(H81:H81)</f>
        <v>0</v>
      </c>
      <c r="I80" s="36" t="s">
        <v>10</v>
      </c>
      <c r="J80" s="49"/>
      <c r="AI80" s="36" t="s">
        <v>10</v>
      </c>
      <c r="AS80" s="28">
        <f>SUM(AJ81:AJ81)</f>
        <v>0</v>
      </c>
      <c r="AT80" s="28">
        <f>SUM(AK81:AK81)</f>
        <v>0</v>
      </c>
      <c r="AU80" s="28">
        <f>SUM(AL81:AL81)</f>
        <v>0</v>
      </c>
    </row>
    <row r="81" spans="1:76" ht="23" x14ac:dyDescent="0.35">
      <c r="A81" s="1" t="s">
        <v>316</v>
      </c>
      <c r="B81" s="2" t="s">
        <v>317</v>
      </c>
      <c r="C81" s="91" t="s">
        <v>318</v>
      </c>
      <c r="D81" s="88"/>
      <c r="E81" s="2" t="s">
        <v>113</v>
      </c>
      <c r="F81" s="53">
        <v>0.6</v>
      </c>
      <c r="G81" s="77">
        <v>0</v>
      </c>
      <c r="H81" s="53">
        <f>ROUND(F81*G81,2)</f>
        <v>0</v>
      </c>
      <c r="I81" s="79" t="s">
        <v>1688</v>
      </c>
      <c r="J81" s="49"/>
      <c r="Z81" s="53">
        <f>ROUND(IF(AQ81="5",BJ81,0),2)</f>
        <v>0</v>
      </c>
      <c r="AB81" s="53">
        <f>ROUND(IF(AQ81="1",BH81,0),2)</f>
        <v>0</v>
      </c>
      <c r="AC81" s="53">
        <f>ROUND(IF(AQ81="1",BI81,0),2)</f>
        <v>0</v>
      </c>
      <c r="AD81" s="53">
        <f>ROUND(IF(AQ81="7",BH81,0),2)</f>
        <v>0</v>
      </c>
      <c r="AE81" s="53">
        <f>ROUND(IF(AQ81="7",BI81,0),2)</f>
        <v>0</v>
      </c>
      <c r="AF81" s="53">
        <f>ROUND(IF(AQ81="2",BH81,0),2)</f>
        <v>0</v>
      </c>
      <c r="AG81" s="53">
        <f>ROUND(IF(AQ81="2",BI81,0),2)</f>
        <v>0</v>
      </c>
      <c r="AH81" s="53">
        <f>ROUND(IF(AQ81="0",BJ81,0),2)</f>
        <v>0</v>
      </c>
      <c r="AI81" s="36" t="s">
        <v>10</v>
      </c>
      <c r="AJ81" s="53">
        <f>IF(AN81=0,H81,0)</f>
        <v>0</v>
      </c>
      <c r="AK81" s="53">
        <f>IF(AN81=12,H81,0)</f>
        <v>0</v>
      </c>
      <c r="AL81" s="53">
        <f>IF(AN81=21,H81,0)</f>
        <v>0</v>
      </c>
      <c r="AN81" s="53">
        <v>21</v>
      </c>
      <c r="AO81" s="53">
        <f>G81*0.774578313</f>
        <v>0</v>
      </c>
      <c r="AP81" s="53">
        <f>G81*(1-0.774578313)</f>
        <v>0</v>
      </c>
      <c r="AQ81" s="54" t="s">
        <v>134</v>
      </c>
      <c r="AV81" s="53">
        <f>ROUND(AW81+AX81,2)</f>
        <v>0</v>
      </c>
      <c r="AW81" s="53">
        <f>ROUND(F81*AO81,2)</f>
        <v>0</v>
      </c>
      <c r="AX81" s="53">
        <f>ROUND(F81*AP81,2)</f>
        <v>0</v>
      </c>
      <c r="AY81" s="54" t="s">
        <v>319</v>
      </c>
      <c r="AZ81" s="54" t="s">
        <v>313</v>
      </c>
      <c r="BA81" s="36" t="s">
        <v>116</v>
      </c>
      <c r="BC81" s="53">
        <f>AW81+AX81</f>
        <v>0</v>
      </c>
      <c r="BD81" s="53">
        <f>G81/(100-BE81)*100</f>
        <v>0</v>
      </c>
      <c r="BE81" s="53">
        <v>0</v>
      </c>
      <c r="BF81" s="53">
        <f>81</f>
        <v>81</v>
      </c>
      <c r="BH81" s="53">
        <f>F81*AO81</f>
        <v>0</v>
      </c>
      <c r="BI81" s="53">
        <f>F81*AP81</f>
        <v>0</v>
      </c>
      <c r="BJ81" s="53">
        <f>F81*G81</f>
        <v>0</v>
      </c>
      <c r="BK81" s="54" t="s">
        <v>117</v>
      </c>
      <c r="BL81" s="53">
        <v>713</v>
      </c>
      <c r="BW81" s="53">
        <v>21</v>
      </c>
      <c r="BX81" s="3" t="s">
        <v>318</v>
      </c>
    </row>
    <row r="82" spans="1:76" ht="14.5" x14ac:dyDescent="0.35">
      <c r="A82" s="50" t="s">
        <v>10</v>
      </c>
      <c r="B82" s="51" t="s">
        <v>320</v>
      </c>
      <c r="C82" s="172" t="s">
        <v>321</v>
      </c>
      <c r="D82" s="173"/>
      <c r="E82" s="52" t="s">
        <v>75</v>
      </c>
      <c r="F82" s="52" t="s">
        <v>75</v>
      </c>
      <c r="G82" s="52" t="s">
        <v>75</v>
      </c>
      <c r="H82" s="28">
        <f>SUM(H83:H116)</f>
        <v>0</v>
      </c>
      <c r="I82" s="36" t="s">
        <v>10</v>
      </c>
      <c r="J82" s="49"/>
      <c r="AI82" s="36" t="s">
        <v>10</v>
      </c>
      <c r="AS82" s="28">
        <f>SUM(AJ83:AJ116)</f>
        <v>0</v>
      </c>
      <c r="AT82" s="28">
        <f>SUM(AK83:AK116)</f>
        <v>0</v>
      </c>
      <c r="AU82" s="28">
        <f>SUM(AL83:AL116)</f>
        <v>0</v>
      </c>
    </row>
    <row r="83" spans="1:76" ht="23" x14ac:dyDescent="0.35">
      <c r="A83" s="1" t="s">
        <v>242</v>
      </c>
      <c r="B83" s="2" t="s">
        <v>322</v>
      </c>
      <c r="C83" s="156" t="s">
        <v>1691</v>
      </c>
      <c r="D83" s="88"/>
      <c r="E83" s="2" t="s">
        <v>137</v>
      </c>
      <c r="F83" s="53">
        <v>36</v>
      </c>
      <c r="G83" s="77">
        <v>0</v>
      </c>
      <c r="H83" s="53">
        <f t="shared" ref="H83:H116" si="124">ROUND(F83*G83,2)</f>
        <v>0</v>
      </c>
      <c r="I83" s="79" t="s">
        <v>1688</v>
      </c>
      <c r="J83" s="49"/>
      <c r="Z83" s="53">
        <f t="shared" ref="Z83:Z116" si="125">ROUND(IF(AQ83="5",BJ83,0),2)</f>
        <v>0</v>
      </c>
      <c r="AB83" s="53">
        <f t="shared" ref="AB83:AB116" si="126">ROUND(IF(AQ83="1",BH83,0),2)</f>
        <v>0</v>
      </c>
      <c r="AC83" s="53">
        <f t="shared" ref="AC83:AC116" si="127">ROUND(IF(AQ83="1",BI83,0),2)</f>
        <v>0</v>
      </c>
      <c r="AD83" s="53">
        <f t="shared" ref="AD83:AD116" si="128">ROUND(IF(AQ83="7",BH83,0),2)</f>
        <v>0</v>
      </c>
      <c r="AE83" s="53">
        <f t="shared" ref="AE83:AE116" si="129">ROUND(IF(AQ83="7",BI83,0),2)</f>
        <v>0</v>
      </c>
      <c r="AF83" s="53">
        <f t="shared" ref="AF83:AF116" si="130">ROUND(IF(AQ83="2",BH83,0),2)</f>
        <v>0</v>
      </c>
      <c r="AG83" s="53">
        <f t="shared" ref="AG83:AG116" si="131">ROUND(IF(AQ83="2",BI83,0),2)</f>
        <v>0</v>
      </c>
      <c r="AH83" s="53">
        <f t="shared" ref="AH83:AH116" si="132">ROUND(IF(AQ83="0",BJ83,0),2)</f>
        <v>0</v>
      </c>
      <c r="AI83" s="36" t="s">
        <v>10</v>
      </c>
      <c r="AJ83" s="53">
        <f t="shared" ref="AJ83:AJ116" si="133">IF(AN83=0,H83,0)</f>
        <v>0</v>
      </c>
      <c r="AK83" s="53">
        <f t="shared" ref="AK83:AK116" si="134">IF(AN83=12,H83,0)</f>
        <v>0</v>
      </c>
      <c r="AL83" s="53">
        <f t="shared" ref="AL83:AL116" si="135">IF(AN83=21,H83,0)</f>
        <v>0</v>
      </c>
      <c r="AN83" s="53">
        <v>21</v>
      </c>
      <c r="AO83" s="53">
        <f>G83*0</f>
        <v>0</v>
      </c>
      <c r="AP83" s="53">
        <f>G83*(1-0)</f>
        <v>0</v>
      </c>
      <c r="AQ83" s="54" t="s">
        <v>134</v>
      </c>
      <c r="AV83" s="53">
        <f t="shared" ref="AV83:AV116" si="136">ROUND(AW83+AX83,2)</f>
        <v>0</v>
      </c>
      <c r="AW83" s="53">
        <f t="shared" ref="AW83:AW116" si="137">ROUND(F83*AO83,2)</f>
        <v>0</v>
      </c>
      <c r="AX83" s="53">
        <f t="shared" ref="AX83:AX116" si="138">ROUND(F83*AP83,2)</f>
        <v>0</v>
      </c>
      <c r="AY83" s="54" t="s">
        <v>324</v>
      </c>
      <c r="AZ83" s="54" t="s">
        <v>325</v>
      </c>
      <c r="BA83" s="36" t="s">
        <v>116</v>
      </c>
      <c r="BC83" s="53">
        <f t="shared" ref="BC83:BC116" si="139">AW83+AX83</f>
        <v>0</v>
      </c>
      <c r="BD83" s="53">
        <f t="shared" ref="BD83:BD116" si="140">G83/(100-BE83)*100</f>
        <v>0</v>
      </c>
      <c r="BE83" s="53">
        <v>0</v>
      </c>
      <c r="BF83" s="53">
        <f>83</f>
        <v>83</v>
      </c>
      <c r="BH83" s="53">
        <f t="shared" ref="BH83:BH116" si="141">F83*AO83</f>
        <v>0</v>
      </c>
      <c r="BI83" s="53">
        <f t="shared" ref="BI83:BI116" si="142">F83*AP83</f>
        <v>0</v>
      </c>
      <c r="BJ83" s="53">
        <f t="shared" ref="BJ83:BJ116" si="143">F83*G83</f>
        <v>0</v>
      </c>
      <c r="BK83" s="54" t="s">
        <v>117</v>
      </c>
      <c r="BL83" s="53">
        <v>721</v>
      </c>
      <c r="BW83" s="53">
        <v>21</v>
      </c>
      <c r="BX83" s="3" t="s">
        <v>323</v>
      </c>
    </row>
    <row r="84" spans="1:76" ht="23" x14ac:dyDescent="0.35">
      <c r="A84" s="1" t="s">
        <v>326</v>
      </c>
      <c r="B84" s="2" t="s">
        <v>327</v>
      </c>
      <c r="C84" s="91" t="s">
        <v>328</v>
      </c>
      <c r="D84" s="88"/>
      <c r="E84" s="2" t="s">
        <v>137</v>
      </c>
      <c r="F84" s="53">
        <v>42</v>
      </c>
      <c r="G84" s="77">
        <v>0</v>
      </c>
      <c r="H84" s="53">
        <f t="shared" si="124"/>
        <v>0</v>
      </c>
      <c r="I84" s="79" t="s">
        <v>1688</v>
      </c>
      <c r="J84" s="49"/>
      <c r="Z84" s="53">
        <f t="shared" si="125"/>
        <v>0</v>
      </c>
      <c r="AB84" s="53">
        <f t="shared" si="126"/>
        <v>0</v>
      </c>
      <c r="AC84" s="53">
        <f t="shared" si="127"/>
        <v>0</v>
      </c>
      <c r="AD84" s="53">
        <f t="shared" si="128"/>
        <v>0</v>
      </c>
      <c r="AE84" s="53">
        <f t="shared" si="129"/>
        <v>0</v>
      </c>
      <c r="AF84" s="53">
        <f t="shared" si="130"/>
        <v>0</v>
      </c>
      <c r="AG84" s="53">
        <f t="shared" si="131"/>
        <v>0</v>
      </c>
      <c r="AH84" s="53">
        <f t="shared" si="132"/>
        <v>0</v>
      </c>
      <c r="AI84" s="36" t="s">
        <v>10</v>
      </c>
      <c r="AJ84" s="53">
        <f t="shared" si="133"/>
        <v>0</v>
      </c>
      <c r="AK84" s="53">
        <f t="shared" si="134"/>
        <v>0</v>
      </c>
      <c r="AL84" s="53">
        <f t="shared" si="135"/>
        <v>0</v>
      </c>
      <c r="AN84" s="53">
        <v>21</v>
      </c>
      <c r="AO84" s="53">
        <f>G84*0.342951815</f>
        <v>0</v>
      </c>
      <c r="AP84" s="53">
        <f>G84*(1-0.342951815)</f>
        <v>0</v>
      </c>
      <c r="AQ84" s="54" t="s">
        <v>134</v>
      </c>
      <c r="AV84" s="53">
        <f t="shared" si="136"/>
        <v>0</v>
      </c>
      <c r="AW84" s="53">
        <f t="shared" si="137"/>
        <v>0</v>
      </c>
      <c r="AX84" s="53">
        <f t="shared" si="138"/>
        <v>0</v>
      </c>
      <c r="AY84" s="54" t="s">
        <v>324</v>
      </c>
      <c r="AZ84" s="54" t="s">
        <v>325</v>
      </c>
      <c r="BA84" s="36" t="s">
        <v>116</v>
      </c>
      <c r="BC84" s="53">
        <f t="shared" si="139"/>
        <v>0</v>
      </c>
      <c r="BD84" s="53">
        <f t="shared" si="140"/>
        <v>0</v>
      </c>
      <c r="BE84" s="53">
        <v>0</v>
      </c>
      <c r="BF84" s="53">
        <f>84</f>
        <v>84</v>
      </c>
      <c r="BH84" s="53">
        <f t="shared" si="141"/>
        <v>0</v>
      </c>
      <c r="BI84" s="53">
        <f t="shared" si="142"/>
        <v>0</v>
      </c>
      <c r="BJ84" s="53">
        <f t="shared" si="143"/>
        <v>0</v>
      </c>
      <c r="BK84" s="54" t="s">
        <v>117</v>
      </c>
      <c r="BL84" s="53">
        <v>721</v>
      </c>
      <c r="BW84" s="53">
        <v>21</v>
      </c>
      <c r="BX84" s="3" t="s">
        <v>328</v>
      </c>
    </row>
    <row r="85" spans="1:76" ht="23" x14ac:dyDescent="0.35">
      <c r="A85" s="1" t="s">
        <v>329</v>
      </c>
      <c r="B85" s="2" t="s">
        <v>330</v>
      </c>
      <c r="C85" s="91" t="s">
        <v>331</v>
      </c>
      <c r="D85" s="88"/>
      <c r="E85" s="2" t="s">
        <v>137</v>
      </c>
      <c r="F85" s="53">
        <v>6</v>
      </c>
      <c r="G85" s="77">
        <v>0</v>
      </c>
      <c r="H85" s="53">
        <f t="shared" si="124"/>
        <v>0</v>
      </c>
      <c r="I85" s="79" t="s">
        <v>1688</v>
      </c>
      <c r="J85" s="49"/>
      <c r="Z85" s="53">
        <f t="shared" si="125"/>
        <v>0</v>
      </c>
      <c r="AB85" s="53">
        <f t="shared" si="126"/>
        <v>0</v>
      </c>
      <c r="AC85" s="53">
        <f t="shared" si="127"/>
        <v>0</v>
      </c>
      <c r="AD85" s="53">
        <f t="shared" si="128"/>
        <v>0</v>
      </c>
      <c r="AE85" s="53">
        <f t="shared" si="129"/>
        <v>0</v>
      </c>
      <c r="AF85" s="53">
        <f t="shared" si="130"/>
        <v>0</v>
      </c>
      <c r="AG85" s="53">
        <f t="shared" si="131"/>
        <v>0</v>
      </c>
      <c r="AH85" s="53">
        <f t="shared" si="132"/>
        <v>0</v>
      </c>
      <c r="AI85" s="36" t="s">
        <v>10</v>
      </c>
      <c r="AJ85" s="53">
        <f t="shared" si="133"/>
        <v>0</v>
      </c>
      <c r="AK85" s="53">
        <f t="shared" si="134"/>
        <v>0</v>
      </c>
      <c r="AL85" s="53">
        <f t="shared" si="135"/>
        <v>0</v>
      </c>
      <c r="AN85" s="53">
        <v>21</v>
      </c>
      <c r="AO85" s="53">
        <f>G85*0.418408606</f>
        <v>0</v>
      </c>
      <c r="AP85" s="53">
        <f>G85*(1-0.418408606)</f>
        <v>0</v>
      </c>
      <c r="AQ85" s="54" t="s">
        <v>134</v>
      </c>
      <c r="AV85" s="53">
        <f t="shared" si="136"/>
        <v>0</v>
      </c>
      <c r="AW85" s="53">
        <f t="shared" si="137"/>
        <v>0</v>
      </c>
      <c r="AX85" s="53">
        <f t="shared" si="138"/>
        <v>0</v>
      </c>
      <c r="AY85" s="54" t="s">
        <v>324</v>
      </c>
      <c r="AZ85" s="54" t="s">
        <v>325</v>
      </c>
      <c r="BA85" s="36" t="s">
        <v>116</v>
      </c>
      <c r="BC85" s="53">
        <f t="shared" si="139"/>
        <v>0</v>
      </c>
      <c r="BD85" s="53">
        <f t="shared" si="140"/>
        <v>0</v>
      </c>
      <c r="BE85" s="53">
        <v>0</v>
      </c>
      <c r="BF85" s="53">
        <f>85</f>
        <v>85</v>
      </c>
      <c r="BH85" s="53">
        <f t="shared" si="141"/>
        <v>0</v>
      </c>
      <c r="BI85" s="53">
        <f t="shared" si="142"/>
        <v>0</v>
      </c>
      <c r="BJ85" s="53">
        <f t="shared" si="143"/>
        <v>0</v>
      </c>
      <c r="BK85" s="54" t="s">
        <v>117</v>
      </c>
      <c r="BL85" s="53">
        <v>721</v>
      </c>
      <c r="BW85" s="53">
        <v>21</v>
      </c>
      <c r="BX85" s="3" t="s">
        <v>331</v>
      </c>
    </row>
    <row r="86" spans="1:76" ht="23" x14ac:dyDescent="0.35">
      <c r="A86" s="1" t="s">
        <v>332</v>
      </c>
      <c r="B86" s="2" t="s">
        <v>333</v>
      </c>
      <c r="C86" s="91" t="s">
        <v>334</v>
      </c>
      <c r="D86" s="88"/>
      <c r="E86" s="2" t="s">
        <v>137</v>
      </c>
      <c r="F86" s="53">
        <v>13</v>
      </c>
      <c r="G86" s="77">
        <v>0</v>
      </c>
      <c r="H86" s="53">
        <f t="shared" si="124"/>
        <v>0</v>
      </c>
      <c r="I86" s="79" t="s">
        <v>1688</v>
      </c>
      <c r="J86" s="49"/>
      <c r="Z86" s="53">
        <f t="shared" si="125"/>
        <v>0</v>
      </c>
      <c r="AB86" s="53">
        <f t="shared" si="126"/>
        <v>0</v>
      </c>
      <c r="AC86" s="53">
        <f t="shared" si="127"/>
        <v>0</v>
      </c>
      <c r="AD86" s="53">
        <f t="shared" si="128"/>
        <v>0</v>
      </c>
      <c r="AE86" s="53">
        <f t="shared" si="129"/>
        <v>0</v>
      </c>
      <c r="AF86" s="53">
        <f t="shared" si="130"/>
        <v>0</v>
      </c>
      <c r="AG86" s="53">
        <f t="shared" si="131"/>
        <v>0</v>
      </c>
      <c r="AH86" s="53">
        <f t="shared" si="132"/>
        <v>0</v>
      </c>
      <c r="AI86" s="36" t="s">
        <v>10</v>
      </c>
      <c r="AJ86" s="53">
        <f t="shared" si="133"/>
        <v>0</v>
      </c>
      <c r="AK86" s="53">
        <f t="shared" si="134"/>
        <v>0</v>
      </c>
      <c r="AL86" s="53">
        <f t="shared" si="135"/>
        <v>0</v>
      </c>
      <c r="AN86" s="53">
        <v>21</v>
      </c>
      <c r="AO86" s="53">
        <f>G86*0.573685968</f>
        <v>0</v>
      </c>
      <c r="AP86" s="53">
        <f>G86*(1-0.573685968)</f>
        <v>0</v>
      </c>
      <c r="AQ86" s="54" t="s">
        <v>134</v>
      </c>
      <c r="AV86" s="53">
        <f t="shared" si="136"/>
        <v>0</v>
      </c>
      <c r="AW86" s="53">
        <f t="shared" si="137"/>
        <v>0</v>
      </c>
      <c r="AX86" s="53">
        <f t="shared" si="138"/>
        <v>0</v>
      </c>
      <c r="AY86" s="54" t="s">
        <v>324</v>
      </c>
      <c r="AZ86" s="54" t="s">
        <v>325</v>
      </c>
      <c r="BA86" s="36" t="s">
        <v>116</v>
      </c>
      <c r="BC86" s="53">
        <f t="shared" si="139"/>
        <v>0</v>
      </c>
      <c r="BD86" s="53">
        <f t="shared" si="140"/>
        <v>0</v>
      </c>
      <c r="BE86" s="53">
        <v>0</v>
      </c>
      <c r="BF86" s="53">
        <f>86</f>
        <v>86</v>
      </c>
      <c r="BH86" s="53">
        <f t="shared" si="141"/>
        <v>0</v>
      </c>
      <c r="BI86" s="53">
        <f t="shared" si="142"/>
        <v>0</v>
      </c>
      <c r="BJ86" s="53">
        <f t="shared" si="143"/>
        <v>0</v>
      </c>
      <c r="BK86" s="54" t="s">
        <v>117</v>
      </c>
      <c r="BL86" s="53">
        <v>721</v>
      </c>
      <c r="BW86" s="53">
        <v>21</v>
      </c>
      <c r="BX86" s="3" t="s">
        <v>334</v>
      </c>
    </row>
    <row r="87" spans="1:76" ht="23" x14ac:dyDescent="0.35">
      <c r="A87" s="1" t="s">
        <v>335</v>
      </c>
      <c r="B87" s="2" t="s">
        <v>336</v>
      </c>
      <c r="C87" s="91" t="s">
        <v>337</v>
      </c>
      <c r="D87" s="88"/>
      <c r="E87" s="2" t="s">
        <v>137</v>
      </c>
      <c r="F87" s="53">
        <v>8</v>
      </c>
      <c r="G87" s="77">
        <v>0</v>
      </c>
      <c r="H87" s="53">
        <f t="shared" si="124"/>
        <v>0</v>
      </c>
      <c r="I87" s="79" t="s">
        <v>1688</v>
      </c>
      <c r="J87" s="49"/>
      <c r="Z87" s="53">
        <f t="shared" si="125"/>
        <v>0</v>
      </c>
      <c r="AB87" s="53">
        <f t="shared" si="126"/>
        <v>0</v>
      </c>
      <c r="AC87" s="53">
        <f t="shared" si="127"/>
        <v>0</v>
      </c>
      <c r="AD87" s="53">
        <f t="shared" si="128"/>
        <v>0</v>
      </c>
      <c r="AE87" s="53">
        <f t="shared" si="129"/>
        <v>0</v>
      </c>
      <c r="AF87" s="53">
        <f t="shared" si="130"/>
        <v>0</v>
      </c>
      <c r="AG87" s="53">
        <f t="shared" si="131"/>
        <v>0</v>
      </c>
      <c r="AH87" s="53">
        <f t="shared" si="132"/>
        <v>0</v>
      </c>
      <c r="AI87" s="36" t="s">
        <v>10</v>
      </c>
      <c r="AJ87" s="53">
        <f t="shared" si="133"/>
        <v>0</v>
      </c>
      <c r="AK87" s="53">
        <f t="shared" si="134"/>
        <v>0</v>
      </c>
      <c r="AL87" s="53">
        <f t="shared" si="135"/>
        <v>0</v>
      </c>
      <c r="AN87" s="53">
        <v>21</v>
      </c>
      <c r="AO87" s="53">
        <f>G87*0.309127823</f>
        <v>0</v>
      </c>
      <c r="AP87" s="53">
        <f>G87*(1-0.309127823)</f>
        <v>0</v>
      </c>
      <c r="AQ87" s="54" t="s">
        <v>134</v>
      </c>
      <c r="AV87" s="53">
        <f t="shared" si="136"/>
        <v>0</v>
      </c>
      <c r="AW87" s="53">
        <f t="shared" si="137"/>
        <v>0</v>
      </c>
      <c r="AX87" s="53">
        <f t="shared" si="138"/>
        <v>0</v>
      </c>
      <c r="AY87" s="54" t="s">
        <v>324</v>
      </c>
      <c r="AZ87" s="54" t="s">
        <v>325</v>
      </c>
      <c r="BA87" s="36" t="s">
        <v>116</v>
      </c>
      <c r="BC87" s="53">
        <f t="shared" si="139"/>
        <v>0</v>
      </c>
      <c r="BD87" s="53">
        <f t="shared" si="140"/>
        <v>0</v>
      </c>
      <c r="BE87" s="53">
        <v>0</v>
      </c>
      <c r="BF87" s="53">
        <f>87</f>
        <v>87</v>
      </c>
      <c r="BH87" s="53">
        <f t="shared" si="141"/>
        <v>0</v>
      </c>
      <c r="BI87" s="53">
        <f t="shared" si="142"/>
        <v>0</v>
      </c>
      <c r="BJ87" s="53">
        <f t="shared" si="143"/>
        <v>0</v>
      </c>
      <c r="BK87" s="54" t="s">
        <v>117</v>
      </c>
      <c r="BL87" s="53">
        <v>721</v>
      </c>
      <c r="BW87" s="53">
        <v>21</v>
      </c>
      <c r="BX87" s="3" t="s">
        <v>337</v>
      </c>
    </row>
    <row r="88" spans="1:76" ht="23" x14ac:dyDescent="0.35">
      <c r="A88" s="1" t="s">
        <v>264</v>
      </c>
      <c r="B88" s="2" t="s">
        <v>338</v>
      </c>
      <c r="C88" s="91" t="s">
        <v>339</v>
      </c>
      <c r="D88" s="88"/>
      <c r="E88" s="2" t="s">
        <v>137</v>
      </c>
      <c r="F88" s="53">
        <v>37</v>
      </c>
      <c r="G88" s="77">
        <v>0</v>
      </c>
      <c r="H88" s="53">
        <f t="shared" si="124"/>
        <v>0</v>
      </c>
      <c r="I88" s="79" t="s">
        <v>1688</v>
      </c>
      <c r="J88" s="49"/>
      <c r="Z88" s="53">
        <f t="shared" si="125"/>
        <v>0</v>
      </c>
      <c r="AB88" s="53">
        <f t="shared" si="126"/>
        <v>0</v>
      </c>
      <c r="AC88" s="53">
        <f t="shared" si="127"/>
        <v>0</v>
      </c>
      <c r="AD88" s="53">
        <f t="shared" si="128"/>
        <v>0</v>
      </c>
      <c r="AE88" s="53">
        <f t="shared" si="129"/>
        <v>0</v>
      </c>
      <c r="AF88" s="53">
        <f t="shared" si="130"/>
        <v>0</v>
      </c>
      <c r="AG88" s="53">
        <f t="shared" si="131"/>
        <v>0</v>
      </c>
      <c r="AH88" s="53">
        <f t="shared" si="132"/>
        <v>0</v>
      </c>
      <c r="AI88" s="36" t="s">
        <v>10</v>
      </c>
      <c r="AJ88" s="53">
        <f t="shared" si="133"/>
        <v>0</v>
      </c>
      <c r="AK88" s="53">
        <f t="shared" si="134"/>
        <v>0</v>
      </c>
      <c r="AL88" s="53">
        <f t="shared" si="135"/>
        <v>0</v>
      </c>
      <c r="AN88" s="53">
        <v>21</v>
      </c>
      <c r="AO88" s="53">
        <f>G88*0.393409608</f>
        <v>0</v>
      </c>
      <c r="AP88" s="53">
        <f>G88*(1-0.393409608)</f>
        <v>0</v>
      </c>
      <c r="AQ88" s="54" t="s">
        <v>134</v>
      </c>
      <c r="AV88" s="53">
        <f t="shared" si="136"/>
        <v>0</v>
      </c>
      <c r="AW88" s="53">
        <f t="shared" si="137"/>
        <v>0</v>
      </c>
      <c r="AX88" s="53">
        <f t="shared" si="138"/>
        <v>0</v>
      </c>
      <c r="AY88" s="54" t="s">
        <v>324</v>
      </c>
      <c r="AZ88" s="54" t="s">
        <v>325</v>
      </c>
      <c r="BA88" s="36" t="s">
        <v>116</v>
      </c>
      <c r="BC88" s="53">
        <f t="shared" si="139"/>
        <v>0</v>
      </c>
      <c r="BD88" s="53">
        <f t="shared" si="140"/>
        <v>0</v>
      </c>
      <c r="BE88" s="53">
        <v>0</v>
      </c>
      <c r="BF88" s="53">
        <f>88</f>
        <v>88</v>
      </c>
      <c r="BH88" s="53">
        <f t="shared" si="141"/>
        <v>0</v>
      </c>
      <c r="BI88" s="53">
        <f t="shared" si="142"/>
        <v>0</v>
      </c>
      <c r="BJ88" s="53">
        <f t="shared" si="143"/>
        <v>0</v>
      </c>
      <c r="BK88" s="54" t="s">
        <v>117</v>
      </c>
      <c r="BL88" s="53">
        <v>721</v>
      </c>
      <c r="BW88" s="53">
        <v>21</v>
      </c>
      <c r="BX88" s="3" t="s">
        <v>339</v>
      </c>
    </row>
    <row r="89" spans="1:76" ht="23" x14ac:dyDescent="0.35">
      <c r="A89" s="1" t="s">
        <v>340</v>
      </c>
      <c r="B89" s="2" t="s">
        <v>341</v>
      </c>
      <c r="C89" s="91" t="s">
        <v>342</v>
      </c>
      <c r="D89" s="88"/>
      <c r="E89" s="2" t="s">
        <v>137</v>
      </c>
      <c r="F89" s="53">
        <v>9</v>
      </c>
      <c r="G89" s="77">
        <v>0</v>
      </c>
      <c r="H89" s="53">
        <f t="shared" si="124"/>
        <v>0</v>
      </c>
      <c r="I89" s="79" t="s">
        <v>1688</v>
      </c>
      <c r="J89" s="49"/>
      <c r="Z89" s="53">
        <f t="shared" si="125"/>
        <v>0</v>
      </c>
      <c r="AB89" s="53">
        <f t="shared" si="126"/>
        <v>0</v>
      </c>
      <c r="AC89" s="53">
        <f t="shared" si="127"/>
        <v>0</v>
      </c>
      <c r="AD89" s="53">
        <f t="shared" si="128"/>
        <v>0</v>
      </c>
      <c r="AE89" s="53">
        <f t="shared" si="129"/>
        <v>0</v>
      </c>
      <c r="AF89" s="53">
        <f t="shared" si="130"/>
        <v>0</v>
      </c>
      <c r="AG89" s="53">
        <f t="shared" si="131"/>
        <v>0</v>
      </c>
      <c r="AH89" s="53">
        <f t="shared" si="132"/>
        <v>0</v>
      </c>
      <c r="AI89" s="36" t="s">
        <v>10</v>
      </c>
      <c r="AJ89" s="53">
        <f t="shared" si="133"/>
        <v>0</v>
      </c>
      <c r="AK89" s="53">
        <f t="shared" si="134"/>
        <v>0</v>
      </c>
      <c r="AL89" s="53">
        <f t="shared" si="135"/>
        <v>0</v>
      </c>
      <c r="AN89" s="53">
        <v>21</v>
      </c>
      <c r="AO89" s="53">
        <f>G89*0.538972379</f>
        <v>0</v>
      </c>
      <c r="AP89" s="53">
        <f>G89*(1-0.538972379)</f>
        <v>0</v>
      </c>
      <c r="AQ89" s="54" t="s">
        <v>134</v>
      </c>
      <c r="AV89" s="53">
        <f t="shared" si="136"/>
        <v>0</v>
      </c>
      <c r="AW89" s="53">
        <f t="shared" si="137"/>
        <v>0</v>
      </c>
      <c r="AX89" s="53">
        <f t="shared" si="138"/>
        <v>0</v>
      </c>
      <c r="AY89" s="54" t="s">
        <v>324</v>
      </c>
      <c r="AZ89" s="54" t="s">
        <v>325</v>
      </c>
      <c r="BA89" s="36" t="s">
        <v>116</v>
      </c>
      <c r="BC89" s="53">
        <f t="shared" si="139"/>
        <v>0</v>
      </c>
      <c r="BD89" s="53">
        <f t="shared" si="140"/>
        <v>0</v>
      </c>
      <c r="BE89" s="53">
        <v>0</v>
      </c>
      <c r="BF89" s="53">
        <f>89</f>
        <v>89</v>
      </c>
      <c r="BH89" s="53">
        <f t="shared" si="141"/>
        <v>0</v>
      </c>
      <c r="BI89" s="53">
        <f t="shared" si="142"/>
        <v>0</v>
      </c>
      <c r="BJ89" s="53">
        <f t="shared" si="143"/>
        <v>0</v>
      </c>
      <c r="BK89" s="54" t="s">
        <v>117</v>
      </c>
      <c r="BL89" s="53">
        <v>721</v>
      </c>
      <c r="BW89" s="53">
        <v>21</v>
      </c>
      <c r="BX89" s="3" t="s">
        <v>342</v>
      </c>
    </row>
    <row r="90" spans="1:76" ht="23" x14ac:dyDescent="0.35">
      <c r="A90" s="1" t="s">
        <v>286</v>
      </c>
      <c r="B90" s="2" t="s">
        <v>343</v>
      </c>
      <c r="C90" s="91" t="s">
        <v>344</v>
      </c>
      <c r="D90" s="88"/>
      <c r="E90" s="2" t="s">
        <v>137</v>
      </c>
      <c r="F90" s="53">
        <v>6</v>
      </c>
      <c r="G90" s="77">
        <v>0</v>
      </c>
      <c r="H90" s="53">
        <f t="shared" si="124"/>
        <v>0</v>
      </c>
      <c r="I90" s="79" t="s">
        <v>1688</v>
      </c>
      <c r="J90" s="49"/>
      <c r="Z90" s="53">
        <f t="shared" si="125"/>
        <v>0</v>
      </c>
      <c r="AB90" s="53">
        <f t="shared" si="126"/>
        <v>0</v>
      </c>
      <c r="AC90" s="53">
        <f t="shared" si="127"/>
        <v>0</v>
      </c>
      <c r="AD90" s="53">
        <f t="shared" si="128"/>
        <v>0</v>
      </c>
      <c r="AE90" s="53">
        <f t="shared" si="129"/>
        <v>0</v>
      </c>
      <c r="AF90" s="53">
        <f t="shared" si="130"/>
        <v>0</v>
      </c>
      <c r="AG90" s="53">
        <f t="shared" si="131"/>
        <v>0</v>
      </c>
      <c r="AH90" s="53">
        <f t="shared" si="132"/>
        <v>0</v>
      </c>
      <c r="AI90" s="36" t="s">
        <v>10</v>
      </c>
      <c r="AJ90" s="53">
        <f t="shared" si="133"/>
        <v>0</v>
      </c>
      <c r="AK90" s="53">
        <f t="shared" si="134"/>
        <v>0</v>
      </c>
      <c r="AL90" s="53">
        <f t="shared" si="135"/>
        <v>0</v>
      </c>
      <c r="AN90" s="53">
        <v>21</v>
      </c>
      <c r="AO90" s="53">
        <f>G90*0.595725045</f>
        <v>0</v>
      </c>
      <c r="AP90" s="53">
        <f>G90*(1-0.595725045)</f>
        <v>0</v>
      </c>
      <c r="AQ90" s="54" t="s">
        <v>134</v>
      </c>
      <c r="AV90" s="53">
        <f t="shared" si="136"/>
        <v>0</v>
      </c>
      <c r="AW90" s="53">
        <f t="shared" si="137"/>
        <v>0</v>
      </c>
      <c r="AX90" s="53">
        <f t="shared" si="138"/>
        <v>0</v>
      </c>
      <c r="AY90" s="54" t="s">
        <v>324</v>
      </c>
      <c r="AZ90" s="54" t="s">
        <v>325</v>
      </c>
      <c r="BA90" s="36" t="s">
        <v>116</v>
      </c>
      <c r="BC90" s="53">
        <f t="shared" si="139"/>
        <v>0</v>
      </c>
      <c r="BD90" s="53">
        <f t="shared" si="140"/>
        <v>0</v>
      </c>
      <c r="BE90" s="53">
        <v>0</v>
      </c>
      <c r="BF90" s="53">
        <f>90</f>
        <v>90</v>
      </c>
      <c r="BH90" s="53">
        <f t="shared" si="141"/>
        <v>0</v>
      </c>
      <c r="BI90" s="53">
        <f t="shared" si="142"/>
        <v>0</v>
      </c>
      <c r="BJ90" s="53">
        <f t="shared" si="143"/>
        <v>0</v>
      </c>
      <c r="BK90" s="54" t="s">
        <v>117</v>
      </c>
      <c r="BL90" s="53">
        <v>721</v>
      </c>
      <c r="BW90" s="53">
        <v>21</v>
      </c>
      <c r="BX90" s="3" t="s">
        <v>344</v>
      </c>
    </row>
    <row r="91" spans="1:76" ht="23" x14ac:dyDescent="0.35">
      <c r="A91" s="1" t="s">
        <v>301</v>
      </c>
      <c r="B91" s="2" t="s">
        <v>345</v>
      </c>
      <c r="C91" s="91" t="s">
        <v>346</v>
      </c>
      <c r="D91" s="88"/>
      <c r="E91" s="2" t="s">
        <v>137</v>
      </c>
      <c r="F91" s="53">
        <v>24</v>
      </c>
      <c r="G91" s="77">
        <v>0</v>
      </c>
      <c r="H91" s="53">
        <f t="shared" si="124"/>
        <v>0</v>
      </c>
      <c r="I91" s="79" t="s">
        <v>1688</v>
      </c>
      <c r="J91" s="49"/>
      <c r="Z91" s="53">
        <f t="shared" si="125"/>
        <v>0</v>
      </c>
      <c r="AB91" s="53">
        <f t="shared" si="126"/>
        <v>0</v>
      </c>
      <c r="AC91" s="53">
        <f t="shared" si="127"/>
        <v>0</v>
      </c>
      <c r="AD91" s="53">
        <f t="shared" si="128"/>
        <v>0</v>
      </c>
      <c r="AE91" s="53">
        <f t="shared" si="129"/>
        <v>0</v>
      </c>
      <c r="AF91" s="53">
        <f t="shared" si="130"/>
        <v>0</v>
      </c>
      <c r="AG91" s="53">
        <f t="shared" si="131"/>
        <v>0</v>
      </c>
      <c r="AH91" s="53">
        <f t="shared" si="132"/>
        <v>0</v>
      </c>
      <c r="AI91" s="36" t="s">
        <v>10</v>
      </c>
      <c r="AJ91" s="53">
        <f t="shared" si="133"/>
        <v>0</v>
      </c>
      <c r="AK91" s="53">
        <f t="shared" si="134"/>
        <v>0</v>
      </c>
      <c r="AL91" s="53">
        <f t="shared" si="135"/>
        <v>0</v>
      </c>
      <c r="AN91" s="53">
        <v>21</v>
      </c>
      <c r="AO91" s="53">
        <f>G91*0.349416285</f>
        <v>0</v>
      </c>
      <c r="AP91" s="53">
        <f>G91*(1-0.349416285)</f>
        <v>0</v>
      </c>
      <c r="AQ91" s="54" t="s">
        <v>134</v>
      </c>
      <c r="AV91" s="53">
        <f t="shared" si="136"/>
        <v>0</v>
      </c>
      <c r="AW91" s="53">
        <f t="shared" si="137"/>
        <v>0</v>
      </c>
      <c r="AX91" s="53">
        <f t="shared" si="138"/>
        <v>0</v>
      </c>
      <c r="AY91" s="54" t="s">
        <v>324</v>
      </c>
      <c r="AZ91" s="54" t="s">
        <v>325</v>
      </c>
      <c r="BA91" s="36" t="s">
        <v>116</v>
      </c>
      <c r="BC91" s="53">
        <f t="shared" si="139"/>
        <v>0</v>
      </c>
      <c r="BD91" s="53">
        <f t="shared" si="140"/>
        <v>0</v>
      </c>
      <c r="BE91" s="53">
        <v>0</v>
      </c>
      <c r="BF91" s="53">
        <f>91</f>
        <v>91</v>
      </c>
      <c r="BH91" s="53">
        <f t="shared" si="141"/>
        <v>0</v>
      </c>
      <c r="BI91" s="53">
        <f t="shared" si="142"/>
        <v>0</v>
      </c>
      <c r="BJ91" s="53">
        <f t="shared" si="143"/>
        <v>0</v>
      </c>
      <c r="BK91" s="54" t="s">
        <v>117</v>
      </c>
      <c r="BL91" s="53">
        <v>721</v>
      </c>
      <c r="BW91" s="53">
        <v>21</v>
      </c>
      <c r="BX91" s="3" t="s">
        <v>346</v>
      </c>
    </row>
    <row r="92" spans="1:76" ht="23" x14ac:dyDescent="0.35">
      <c r="A92" s="1" t="s">
        <v>347</v>
      </c>
      <c r="B92" s="2" t="s">
        <v>348</v>
      </c>
      <c r="C92" s="91" t="s">
        <v>349</v>
      </c>
      <c r="D92" s="88"/>
      <c r="E92" s="2" t="s">
        <v>137</v>
      </c>
      <c r="F92" s="53">
        <v>10</v>
      </c>
      <c r="G92" s="77">
        <v>0</v>
      </c>
      <c r="H92" s="53">
        <f t="shared" si="124"/>
        <v>0</v>
      </c>
      <c r="I92" s="79" t="s">
        <v>1688</v>
      </c>
      <c r="J92" s="49"/>
      <c r="Z92" s="53">
        <f t="shared" si="125"/>
        <v>0</v>
      </c>
      <c r="AB92" s="53">
        <f t="shared" si="126"/>
        <v>0</v>
      </c>
      <c r="AC92" s="53">
        <f t="shared" si="127"/>
        <v>0</v>
      </c>
      <c r="AD92" s="53">
        <f t="shared" si="128"/>
        <v>0</v>
      </c>
      <c r="AE92" s="53">
        <f t="shared" si="129"/>
        <v>0</v>
      </c>
      <c r="AF92" s="53">
        <f t="shared" si="130"/>
        <v>0</v>
      </c>
      <c r="AG92" s="53">
        <f t="shared" si="131"/>
        <v>0</v>
      </c>
      <c r="AH92" s="53">
        <f t="shared" si="132"/>
        <v>0</v>
      </c>
      <c r="AI92" s="36" t="s">
        <v>10</v>
      </c>
      <c r="AJ92" s="53">
        <f t="shared" si="133"/>
        <v>0</v>
      </c>
      <c r="AK92" s="53">
        <f t="shared" si="134"/>
        <v>0</v>
      </c>
      <c r="AL92" s="53">
        <f t="shared" si="135"/>
        <v>0</v>
      </c>
      <c r="AN92" s="53">
        <v>21</v>
      </c>
      <c r="AO92" s="53">
        <f>G92*0.306411234</f>
        <v>0</v>
      </c>
      <c r="AP92" s="53">
        <f>G92*(1-0.306411234)</f>
        <v>0</v>
      </c>
      <c r="AQ92" s="54" t="s">
        <v>134</v>
      </c>
      <c r="AV92" s="53">
        <f t="shared" si="136"/>
        <v>0</v>
      </c>
      <c r="AW92" s="53">
        <f t="shared" si="137"/>
        <v>0</v>
      </c>
      <c r="AX92" s="53">
        <f t="shared" si="138"/>
        <v>0</v>
      </c>
      <c r="AY92" s="54" t="s">
        <v>324</v>
      </c>
      <c r="AZ92" s="54" t="s">
        <v>325</v>
      </c>
      <c r="BA92" s="36" t="s">
        <v>116</v>
      </c>
      <c r="BC92" s="53">
        <f t="shared" si="139"/>
        <v>0</v>
      </c>
      <c r="BD92" s="53">
        <f t="shared" si="140"/>
        <v>0</v>
      </c>
      <c r="BE92" s="53">
        <v>0</v>
      </c>
      <c r="BF92" s="53">
        <f>92</f>
        <v>92</v>
      </c>
      <c r="BH92" s="53">
        <f t="shared" si="141"/>
        <v>0</v>
      </c>
      <c r="BI92" s="53">
        <f t="shared" si="142"/>
        <v>0</v>
      </c>
      <c r="BJ92" s="53">
        <f t="shared" si="143"/>
        <v>0</v>
      </c>
      <c r="BK92" s="54" t="s">
        <v>117</v>
      </c>
      <c r="BL92" s="53">
        <v>721</v>
      </c>
      <c r="BW92" s="53">
        <v>21</v>
      </c>
      <c r="BX92" s="3" t="s">
        <v>349</v>
      </c>
    </row>
    <row r="93" spans="1:76" ht="23" x14ac:dyDescent="0.35">
      <c r="A93" s="1" t="s">
        <v>350</v>
      </c>
      <c r="B93" s="2" t="s">
        <v>351</v>
      </c>
      <c r="C93" s="91" t="s">
        <v>352</v>
      </c>
      <c r="D93" s="88"/>
      <c r="E93" s="2" t="s">
        <v>137</v>
      </c>
      <c r="F93" s="53">
        <v>4</v>
      </c>
      <c r="G93" s="77">
        <v>0</v>
      </c>
      <c r="H93" s="53">
        <f t="shared" si="124"/>
        <v>0</v>
      </c>
      <c r="I93" s="79" t="s">
        <v>1688</v>
      </c>
      <c r="J93" s="49"/>
      <c r="Z93" s="53">
        <f t="shared" si="125"/>
        <v>0</v>
      </c>
      <c r="AB93" s="53">
        <f t="shared" si="126"/>
        <v>0</v>
      </c>
      <c r="AC93" s="53">
        <f t="shared" si="127"/>
        <v>0</v>
      </c>
      <c r="AD93" s="53">
        <f t="shared" si="128"/>
        <v>0</v>
      </c>
      <c r="AE93" s="53">
        <f t="shared" si="129"/>
        <v>0</v>
      </c>
      <c r="AF93" s="53">
        <f t="shared" si="130"/>
        <v>0</v>
      </c>
      <c r="AG93" s="53">
        <f t="shared" si="131"/>
        <v>0</v>
      </c>
      <c r="AH93" s="53">
        <f t="shared" si="132"/>
        <v>0</v>
      </c>
      <c r="AI93" s="36" t="s">
        <v>10</v>
      </c>
      <c r="AJ93" s="53">
        <f t="shared" si="133"/>
        <v>0</v>
      </c>
      <c r="AK93" s="53">
        <f t="shared" si="134"/>
        <v>0</v>
      </c>
      <c r="AL93" s="53">
        <f t="shared" si="135"/>
        <v>0</v>
      </c>
      <c r="AN93" s="53">
        <v>21</v>
      </c>
      <c r="AO93" s="53">
        <f>G93*0.259287037</f>
        <v>0</v>
      </c>
      <c r="AP93" s="53">
        <f>G93*(1-0.259287037)</f>
        <v>0</v>
      </c>
      <c r="AQ93" s="54" t="s">
        <v>134</v>
      </c>
      <c r="AV93" s="53">
        <f t="shared" si="136"/>
        <v>0</v>
      </c>
      <c r="AW93" s="53">
        <f t="shared" si="137"/>
        <v>0</v>
      </c>
      <c r="AX93" s="53">
        <f t="shared" si="138"/>
        <v>0</v>
      </c>
      <c r="AY93" s="54" t="s">
        <v>324</v>
      </c>
      <c r="AZ93" s="54" t="s">
        <v>325</v>
      </c>
      <c r="BA93" s="36" t="s">
        <v>116</v>
      </c>
      <c r="BC93" s="53">
        <f t="shared" si="139"/>
        <v>0</v>
      </c>
      <c r="BD93" s="53">
        <f t="shared" si="140"/>
        <v>0</v>
      </c>
      <c r="BE93" s="53">
        <v>0</v>
      </c>
      <c r="BF93" s="53">
        <f>93</f>
        <v>93</v>
      </c>
      <c r="BH93" s="53">
        <f t="shared" si="141"/>
        <v>0</v>
      </c>
      <c r="BI93" s="53">
        <f t="shared" si="142"/>
        <v>0</v>
      </c>
      <c r="BJ93" s="53">
        <f t="shared" si="143"/>
        <v>0</v>
      </c>
      <c r="BK93" s="54" t="s">
        <v>117</v>
      </c>
      <c r="BL93" s="53">
        <v>721</v>
      </c>
      <c r="BW93" s="53">
        <v>21</v>
      </c>
      <c r="BX93" s="3" t="s">
        <v>352</v>
      </c>
    </row>
    <row r="94" spans="1:76" ht="23" x14ac:dyDescent="0.35">
      <c r="A94" s="1" t="s">
        <v>353</v>
      </c>
      <c r="B94" s="2" t="s">
        <v>354</v>
      </c>
      <c r="C94" s="91" t="s">
        <v>355</v>
      </c>
      <c r="D94" s="88"/>
      <c r="E94" s="2" t="s">
        <v>137</v>
      </c>
      <c r="F94" s="53">
        <v>37</v>
      </c>
      <c r="G94" s="77">
        <v>0</v>
      </c>
      <c r="H94" s="53">
        <f t="shared" si="124"/>
        <v>0</v>
      </c>
      <c r="I94" s="79" t="s">
        <v>1688</v>
      </c>
      <c r="J94" s="49"/>
      <c r="Z94" s="53">
        <f t="shared" si="125"/>
        <v>0</v>
      </c>
      <c r="AB94" s="53">
        <f t="shared" si="126"/>
        <v>0</v>
      </c>
      <c r="AC94" s="53">
        <f t="shared" si="127"/>
        <v>0</v>
      </c>
      <c r="AD94" s="53">
        <f t="shared" si="128"/>
        <v>0</v>
      </c>
      <c r="AE94" s="53">
        <f t="shared" si="129"/>
        <v>0</v>
      </c>
      <c r="AF94" s="53">
        <f t="shared" si="130"/>
        <v>0</v>
      </c>
      <c r="AG94" s="53">
        <f t="shared" si="131"/>
        <v>0</v>
      </c>
      <c r="AH94" s="53">
        <f t="shared" si="132"/>
        <v>0</v>
      </c>
      <c r="AI94" s="36" t="s">
        <v>10</v>
      </c>
      <c r="AJ94" s="53">
        <f t="shared" si="133"/>
        <v>0</v>
      </c>
      <c r="AK94" s="53">
        <f t="shared" si="134"/>
        <v>0</v>
      </c>
      <c r="AL94" s="53">
        <f t="shared" si="135"/>
        <v>0</v>
      </c>
      <c r="AN94" s="53">
        <v>21</v>
      </c>
      <c r="AO94" s="53">
        <f>G94*0.268261597</f>
        <v>0</v>
      </c>
      <c r="AP94" s="53">
        <f>G94*(1-0.268261597)</f>
        <v>0</v>
      </c>
      <c r="AQ94" s="54" t="s">
        <v>134</v>
      </c>
      <c r="AV94" s="53">
        <f t="shared" si="136"/>
        <v>0</v>
      </c>
      <c r="AW94" s="53">
        <f t="shared" si="137"/>
        <v>0</v>
      </c>
      <c r="AX94" s="53">
        <f t="shared" si="138"/>
        <v>0</v>
      </c>
      <c r="AY94" s="54" t="s">
        <v>324</v>
      </c>
      <c r="AZ94" s="54" t="s">
        <v>325</v>
      </c>
      <c r="BA94" s="36" t="s">
        <v>116</v>
      </c>
      <c r="BC94" s="53">
        <f t="shared" si="139"/>
        <v>0</v>
      </c>
      <c r="BD94" s="53">
        <f t="shared" si="140"/>
        <v>0</v>
      </c>
      <c r="BE94" s="53">
        <v>0</v>
      </c>
      <c r="BF94" s="53">
        <f>94</f>
        <v>94</v>
      </c>
      <c r="BH94" s="53">
        <f t="shared" si="141"/>
        <v>0</v>
      </c>
      <c r="BI94" s="53">
        <f t="shared" si="142"/>
        <v>0</v>
      </c>
      <c r="BJ94" s="53">
        <f t="shared" si="143"/>
        <v>0</v>
      </c>
      <c r="BK94" s="54" t="s">
        <v>117</v>
      </c>
      <c r="BL94" s="53">
        <v>721</v>
      </c>
      <c r="BW94" s="53">
        <v>21</v>
      </c>
      <c r="BX94" s="3" t="s">
        <v>355</v>
      </c>
    </row>
    <row r="95" spans="1:76" ht="23" x14ac:dyDescent="0.35">
      <c r="A95" s="1" t="s">
        <v>356</v>
      </c>
      <c r="B95" s="2" t="s">
        <v>357</v>
      </c>
      <c r="C95" s="91" t="s">
        <v>358</v>
      </c>
      <c r="D95" s="88"/>
      <c r="E95" s="2" t="s">
        <v>137</v>
      </c>
      <c r="F95" s="53">
        <v>3</v>
      </c>
      <c r="G95" s="77">
        <v>0</v>
      </c>
      <c r="H95" s="53">
        <f t="shared" si="124"/>
        <v>0</v>
      </c>
      <c r="I95" s="79" t="s">
        <v>1688</v>
      </c>
      <c r="J95" s="49"/>
      <c r="Z95" s="53">
        <f t="shared" si="125"/>
        <v>0</v>
      </c>
      <c r="AB95" s="53">
        <f t="shared" si="126"/>
        <v>0</v>
      </c>
      <c r="AC95" s="53">
        <f t="shared" si="127"/>
        <v>0</v>
      </c>
      <c r="AD95" s="53">
        <f t="shared" si="128"/>
        <v>0</v>
      </c>
      <c r="AE95" s="53">
        <f t="shared" si="129"/>
        <v>0</v>
      </c>
      <c r="AF95" s="53">
        <f t="shared" si="130"/>
        <v>0</v>
      </c>
      <c r="AG95" s="53">
        <f t="shared" si="131"/>
        <v>0</v>
      </c>
      <c r="AH95" s="53">
        <f t="shared" si="132"/>
        <v>0</v>
      </c>
      <c r="AI95" s="36" t="s">
        <v>10</v>
      </c>
      <c r="AJ95" s="53">
        <f t="shared" si="133"/>
        <v>0</v>
      </c>
      <c r="AK95" s="53">
        <f t="shared" si="134"/>
        <v>0</v>
      </c>
      <c r="AL95" s="53">
        <f t="shared" si="135"/>
        <v>0</v>
      </c>
      <c r="AN95" s="53">
        <v>21</v>
      </c>
      <c r="AO95" s="53">
        <f>G95*0.283665541</f>
        <v>0</v>
      </c>
      <c r="AP95" s="53">
        <f>G95*(1-0.283665541)</f>
        <v>0</v>
      </c>
      <c r="AQ95" s="54" t="s">
        <v>134</v>
      </c>
      <c r="AV95" s="53">
        <f t="shared" si="136"/>
        <v>0</v>
      </c>
      <c r="AW95" s="53">
        <f t="shared" si="137"/>
        <v>0</v>
      </c>
      <c r="AX95" s="53">
        <f t="shared" si="138"/>
        <v>0</v>
      </c>
      <c r="AY95" s="54" t="s">
        <v>324</v>
      </c>
      <c r="AZ95" s="54" t="s">
        <v>325</v>
      </c>
      <c r="BA95" s="36" t="s">
        <v>116</v>
      </c>
      <c r="BC95" s="53">
        <f t="shared" si="139"/>
        <v>0</v>
      </c>
      <c r="BD95" s="53">
        <f t="shared" si="140"/>
        <v>0</v>
      </c>
      <c r="BE95" s="53">
        <v>0</v>
      </c>
      <c r="BF95" s="53">
        <f>95</f>
        <v>95</v>
      </c>
      <c r="BH95" s="53">
        <f t="shared" si="141"/>
        <v>0</v>
      </c>
      <c r="BI95" s="53">
        <f t="shared" si="142"/>
        <v>0</v>
      </c>
      <c r="BJ95" s="53">
        <f t="shared" si="143"/>
        <v>0</v>
      </c>
      <c r="BK95" s="54" t="s">
        <v>117</v>
      </c>
      <c r="BL95" s="53">
        <v>721</v>
      </c>
      <c r="BW95" s="53">
        <v>21</v>
      </c>
      <c r="BX95" s="3" t="s">
        <v>358</v>
      </c>
    </row>
    <row r="96" spans="1:76" ht="23" x14ac:dyDescent="0.35">
      <c r="A96" s="1" t="s">
        <v>359</v>
      </c>
      <c r="B96" s="2" t="s">
        <v>360</v>
      </c>
      <c r="C96" s="91" t="s">
        <v>361</v>
      </c>
      <c r="D96" s="88"/>
      <c r="E96" s="2" t="s">
        <v>137</v>
      </c>
      <c r="F96" s="53">
        <v>33</v>
      </c>
      <c r="G96" s="77">
        <v>0</v>
      </c>
      <c r="H96" s="53">
        <f t="shared" si="124"/>
        <v>0</v>
      </c>
      <c r="I96" s="79" t="s">
        <v>1688</v>
      </c>
      <c r="J96" s="49"/>
      <c r="Z96" s="53">
        <f t="shared" si="125"/>
        <v>0</v>
      </c>
      <c r="AB96" s="53">
        <f t="shared" si="126"/>
        <v>0</v>
      </c>
      <c r="AC96" s="53">
        <f t="shared" si="127"/>
        <v>0</v>
      </c>
      <c r="AD96" s="53">
        <f t="shared" si="128"/>
        <v>0</v>
      </c>
      <c r="AE96" s="53">
        <f t="shared" si="129"/>
        <v>0</v>
      </c>
      <c r="AF96" s="53">
        <f t="shared" si="130"/>
        <v>0</v>
      </c>
      <c r="AG96" s="53">
        <f t="shared" si="131"/>
        <v>0</v>
      </c>
      <c r="AH96" s="53">
        <f t="shared" si="132"/>
        <v>0</v>
      </c>
      <c r="AI96" s="36" t="s">
        <v>10</v>
      </c>
      <c r="AJ96" s="53">
        <f t="shared" si="133"/>
        <v>0</v>
      </c>
      <c r="AK96" s="53">
        <f t="shared" si="134"/>
        <v>0</v>
      </c>
      <c r="AL96" s="53">
        <f t="shared" si="135"/>
        <v>0</v>
      </c>
      <c r="AN96" s="53">
        <v>21</v>
      </c>
      <c r="AO96" s="53">
        <f>G96*0.244081027</f>
        <v>0</v>
      </c>
      <c r="AP96" s="53">
        <f>G96*(1-0.244081027)</f>
        <v>0</v>
      </c>
      <c r="AQ96" s="54" t="s">
        <v>134</v>
      </c>
      <c r="AV96" s="53">
        <f t="shared" si="136"/>
        <v>0</v>
      </c>
      <c r="AW96" s="53">
        <f t="shared" si="137"/>
        <v>0</v>
      </c>
      <c r="AX96" s="53">
        <f t="shared" si="138"/>
        <v>0</v>
      </c>
      <c r="AY96" s="54" t="s">
        <v>324</v>
      </c>
      <c r="AZ96" s="54" t="s">
        <v>325</v>
      </c>
      <c r="BA96" s="36" t="s">
        <v>116</v>
      </c>
      <c r="BC96" s="53">
        <f t="shared" si="139"/>
        <v>0</v>
      </c>
      <c r="BD96" s="53">
        <f t="shared" si="140"/>
        <v>0</v>
      </c>
      <c r="BE96" s="53">
        <v>0</v>
      </c>
      <c r="BF96" s="53">
        <f>96</f>
        <v>96</v>
      </c>
      <c r="BH96" s="53">
        <f t="shared" si="141"/>
        <v>0</v>
      </c>
      <c r="BI96" s="53">
        <f t="shared" si="142"/>
        <v>0</v>
      </c>
      <c r="BJ96" s="53">
        <f t="shared" si="143"/>
        <v>0</v>
      </c>
      <c r="BK96" s="54" t="s">
        <v>117</v>
      </c>
      <c r="BL96" s="53">
        <v>721</v>
      </c>
      <c r="BW96" s="53">
        <v>21</v>
      </c>
      <c r="BX96" s="3" t="s">
        <v>361</v>
      </c>
    </row>
    <row r="97" spans="1:76" ht="23" x14ac:dyDescent="0.35">
      <c r="A97" s="1" t="s">
        <v>362</v>
      </c>
      <c r="B97" s="2" t="s">
        <v>363</v>
      </c>
      <c r="C97" s="91" t="s">
        <v>364</v>
      </c>
      <c r="D97" s="88"/>
      <c r="E97" s="2" t="s">
        <v>365</v>
      </c>
      <c r="F97" s="53">
        <v>2</v>
      </c>
      <c r="G97" s="77">
        <v>0</v>
      </c>
      <c r="H97" s="53">
        <f t="shared" si="124"/>
        <v>0</v>
      </c>
      <c r="I97" s="79" t="s">
        <v>1688</v>
      </c>
      <c r="J97" s="49"/>
      <c r="Z97" s="53">
        <f t="shared" si="125"/>
        <v>0</v>
      </c>
      <c r="AB97" s="53">
        <f t="shared" si="126"/>
        <v>0</v>
      </c>
      <c r="AC97" s="53">
        <f t="shared" si="127"/>
        <v>0</v>
      </c>
      <c r="AD97" s="53">
        <f t="shared" si="128"/>
        <v>0</v>
      </c>
      <c r="AE97" s="53">
        <f t="shared" si="129"/>
        <v>0</v>
      </c>
      <c r="AF97" s="53">
        <f t="shared" si="130"/>
        <v>0</v>
      </c>
      <c r="AG97" s="53">
        <f t="shared" si="131"/>
        <v>0</v>
      </c>
      <c r="AH97" s="53">
        <f t="shared" si="132"/>
        <v>0</v>
      </c>
      <c r="AI97" s="36" t="s">
        <v>10</v>
      </c>
      <c r="AJ97" s="53">
        <f t="shared" si="133"/>
        <v>0</v>
      </c>
      <c r="AK97" s="53">
        <f t="shared" si="134"/>
        <v>0</v>
      </c>
      <c r="AL97" s="53">
        <f t="shared" si="135"/>
        <v>0</v>
      </c>
      <c r="AN97" s="53">
        <v>21</v>
      </c>
      <c r="AO97" s="53">
        <f>G97*0.680537634</f>
        <v>0</v>
      </c>
      <c r="AP97" s="53">
        <f>G97*(1-0.680537634)</f>
        <v>0</v>
      </c>
      <c r="AQ97" s="54" t="s">
        <v>134</v>
      </c>
      <c r="AV97" s="53">
        <f t="shared" si="136"/>
        <v>0</v>
      </c>
      <c r="AW97" s="53">
        <f t="shared" si="137"/>
        <v>0</v>
      </c>
      <c r="AX97" s="53">
        <f t="shared" si="138"/>
        <v>0</v>
      </c>
      <c r="AY97" s="54" t="s">
        <v>324</v>
      </c>
      <c r="AZ97" s="54" t="s">
        <v>325</v>
      </c>
      <c r="BA97" s="36" t="s">
        <v>116</v>
      </c>
      <c r="BC97" s="53">
        <f t="shared" si="139"/>
        <v>0</v>
      </c>
      <c r="BD97" s="53">
        <f t="shared" si="140"/>
        <v>0</v>
      </c>
      <c r="BE97" s="53">
        <v>0</v>
      </c>
      <c r="BF97" s="53">
        <f>97</f>
        <v>97</v>
      </c>
      <c r="BH97" s="53">
        <f t="shared" si="141"/>
        <v>0</v>
      </c>
      <c r="BI97" s="53">
        <f t="shared" si="142"/>
        <v>0</v>
      </c>
      <c r="BJ97" s="53">
        <f t="shared" si="143"/>
        <v>0</v>
      </c>
      <c r="BK97" s="54" t="s">
        <v>117</v>
      </c>
      <c r="BL97" s="53">
        <v>721</v>
      </c>
      <c r="BW97" s="53">
        <v>21</v>
      </c>
      <c r="BX97" s="3" t="s">
        <v>364</v>
      </c>
    </row>
    <row r="98" spans="1:76" ht="23" x14ac:dyDescent="0.35">
      <c r="A98" s="1" t="s">
        <v>366</v>
      </c>
      <c r="B98" s="2" t="s">
        <v>367</v>
      </c>
      <c r="C98" s="91" t="s">
        <v>368</v>
      </c>
      <c r="D98" s="88"/>
      <c r="E98" s="2" t="s">
        <v>365</v>
      </c>
      <c r="F98" s="53">
        <v>2</v>
      </c>
      <c r="G98" s="77">
        <v>0</v>
      </c>
      <c r="H98" s="53">
        <f t="shared" si="124"/>
        <v>0</v>
      </c>
      <c r="I98" s="79" t="s">
        <v>1688</v>
      </c>
      <c r="J98" s="49"/>
      <c r="Z98" s="53">
        <f t="shared" si="125"/>
        <v>0</v>
      </c>
      <c r="AB98" s="53">
        <f t="shared" si="126"/>
        <v>0</v>
      </c>
      <c r="AC98" s="53">
        <f t="shared" si="127"/>
        <v>0</v>
      </c>
      <c r="AD98" s="53">
        <f t="shared" si="128"/>
        <v>0</v>
      </c>
      <c r="AE98" s="53">
        <f t="shared" si="129"/>
        <v>0</v>
      </c>
      <c r="AF98" s="53">
        <f t="shared" si="130"/>
        <v>0</v>
      </c>
      <c r="AG98" s="53">
        <f t="shared" si="131"/>
        <v>0</v>
      </c>
      <c r="AH98" s="53">
        <f t="shared" si="132"/>
        <v>0</v>
      </c>
      <c r="AI98" s="36" t="s">
        <v>10</v>
      </c>
      <c r="AJ98" s="53">
        <f t="shared" si="133"/>
        <v>0</v>
      </c>
      <c r="AK98" s="53">
        <f t="shared" si="134"/>
        <v>0</v>
      </c>
      <c r="AL98" s="53">
        <f t="shared" si="135"/>
        <v>0</v>
      </c>
      <c r="AN98" s="53">
        <v>21</v>
      </c>
      <c r="AO98" s="53">
        <f>G98*0.680863563</f>
        <v>0</v>
      </c>
      <c r="AP98" s="53">
        <f>G98*(1-0.680863563)</f>
        <v>0</v>
      </c>
      <c r="AQ98" s="54" t="s">
        <v>134</v>
      </c>
      <c r="AV98" s="53">
        <f t="shared" si="136"/>
        <v>0</v>
      </c>
      <c r="AW98" s="53">
        <f t="shared" si="137"/>
        <v>0</v>
      </c>
      <c r="AX98" s="53">
        <f t="shared" si="138"/>
        <v>0</v>
      </c>
      <c r="AY98" s="54" t="s">
        <v>324</v>
      </c>
      <c r="AZ98" s="54" t="s">
        <v>325</v>
      </c>
      <c r="BA98" s="36" t="s">
        <v>116</v>
      </c>
      <c r="BC98" s="53">
        <f t="shared" si="139"/>
        <v>0</v>
      </c>
      <c r="BD98" s="53">
        <f t="shared" si="140"/>
        <v>0</v>
      </c>
      <c r="BE98" s="53">
        <v>0</v>
      </c>
      <c r="BF98" s="53">
        <f>98</f>
        <v>98</v>
      </c>
      <c r="BH98" s="53">
        <f t="shared" si="141"/>
        <v>0</v>
      </c>
      <c r="BI98" s="53">
        <f t="shared" si="142"/>
        <v>0</v>
      </c>
      <c r="BJ98" s="53">
        <f t="shared" si="143"/>
        <v>0</v>
      </c>
      <c r="BK98" s="54" t="s">
        <v>117</v>
      </c>
      <c r="BL98" s="53">
        <v>721</v>
      </c>
      <c r="BW98" s="53">
        <v>21</v>
      </c>
      <c r="BX98" s="3" t="s">
        <v>368</v>
      </c>
    </row>
    <row r="99" spans="1:76" ht="23" x14ac:dyDescent="0.35">
      <c r="A99" s="1" t="s">
        <v>369</v>
      </c>
      <c r="B99" s="2" t="s">
        <v>370</v>
      </c>
      <c r="C99" s="91" t="s">
        <v>371</v>
      </c>
      <c r="D99" s="88"/>
      <c r="E99" s="2" t="s">
        <v>121</v>
      </c>
      <c r="F99" s="53">
        <v>2</v>
      </c>
      <c r="G99" s="77">
        <v>0</v>
      </c>
      <c r="H99" s="53">
        <f t="shared" si="124"/>
        <v>0</v>
      </c>
      <c r="I99" s="79" t="s">
        <v>1688</v>
      </c>
      <c r="J99" s="49"/>
      <c r="Z99" s="53">
        <f t="shared" si="125"/>
        <v>0</v>
      </c>
      <c r="AB99" s="53">
        <f t="shared" si="126"/>
        <v>0</v>
      </c>
      <c r="AC99" s="53">
        <f t="shared" si="127"/>
        <v>0</v>
      </c>
      <c r="AD99" s="53">
        <f t="shared" si="128"/>
        <v>0</v>
      </c>
      <c r="AE99" s="53">
        <f t="shared" si="129"/>
        <v>0</v>
      </c>
      <c r="AF99" s="53">
        <f t="shared" si="130"/>
        <v>0</v>
      </c>
      <c r="AG99" s="53">
        <f t="shared" si="131"/>
        <v>0</v>
      </c>
      <c r="AH99" s="53">
        <f t="shared" si="132"/>
        <v>0</v>
      </c>
      <c r="AI99" s="36" t="s">
        <v>10</v>
      </c>
      <c r="AJ99" s="53">
        <f t="shared" si="133"/>
        <v>0</v>
      </c>
      <c r="AK99" s="53">
        <f t="shared" si="134"/>
        <v>0</v>
      </c>
      <c r="AL99" s="53">
        <f t="shared" si="135"/>
        <v>0</v>
      </c>
      <c r="AN99" s="53">
        <v>21</v>
      </c>
      <c r="AO99" s="53">
        <f>G99*0.216235392</f>
        <v>0</v>
      </c>
      <c r="AP99" s="53">
        <f>G99*(1-0.216235392)</f>
        <v>0</v>
      </c>
      <c r="AQ99" s="54" t="s">
        <v>134</v>
      </c>
      <c r="AV99" s="53">
        <f t="shared" si="136"/>
        <v>0</v>
      </c>
      <c r="AW99" s="53">
        <f t="shared" si="137"/>
        <v>0</v>
      </c>
      <c r="AX99" s="53">
        <f t="shared" si="138"/>
        <v>0</v>
      </c>
      <c r="AY99" s="54" t="s">
        <v>324</v>
      </c>
      <c r="AZ99" s="54" t="s">
        <v>325</v>
      </c>
      <c r="BA99" s="36" t="s">
        <v>116</v>
      </c>
      <c r="BC99" s="53">
        <f t="shared" si="139"/>
        <v>0</v>
      </c>
      <c r="BD99" s="53">
        <f t="shared" si="140"/>
        <v>0</v>
      </c>
      <c r="BE99" s="53">
        <v>0</v>
      </c>
      <c r="BF99" s="53">
        <f>99</f>
        <v>99</v>
      </c>
      <c r="BH99" s="53">
        <f t="shared" si="141"/>
        <v>0</v>
      </c>
      <c r="BI99" s="53">
        <f t="shared" si="142"/>
        <v>0</v>
      </c>
      <c r="BJ99" s="53">
        <f t="shared" si="143"/>
        <v>0</v>
      </c>
      <c r="BK99" s="54" t="s">
        <v>117</v>
      </c>
      <c r="BL99" s="53">
        <v>721</v>
      </c>
      <c r="BW99" s="53">
        <v>21</v>
      </c>
      <c r="BX99" s="3" t="s">
        <v>371</v>
      </c>
    </row>
    <row r="100" spans="1:76" ht="23" x14ac:dyDescent="0.35">
      <c r="A100" s="1" t="s">
        <v>372</v>
      </c>
      <c r="B100" s="2" t="s">
        <v>373</v>
      </c>
      <c r="C100" s="91" t="s">
        <v>374</v>
      </c>
      <c r="D100" s="88"/>
      <c r="E100" s="2" t="s">
        <v>121</v>
      </c>
      <c r="F100" s="53">
        <v>14</v>
      </c>
      <c r="G100" s="77">
        <v>0</v>
      </c>
      <c r="H100" s="53">
        <f t="shared" si="124"/>
        <v>0</v>
      </c>
      <c r="I100" s="79" t="s">
        <v>1688</v>
      </c>
      <c r="J100" s="49"/>
      <c r="Z100" s="53">
        <f t="shared" si="125"/>
        <v>0</v>
      </c>
      <c r="AB100" s="53">
        <f t="shared" si="126"/>
        <v>0</v>
      </c>
      <c r="AC100" s="53">
        <f t="shared" si="127"/>
        <v>0</v>
      </c>
      <c r="AD100" s="53">
        <f t="shared" si="128"/>
        <v>0</v>
      </c>
      <c r="AE100" s="53">
        <f t="shared" si="129"/>
        <v>0</v>
      </c>
      <c r="AF100" s="53">
        <f t="shared" si="130"/>
        <v>0</v>
      </c>
      <c r="AG100" s="53">
        <f t="shared" si="131"/>
        <v>0</v>
      </c>
      <c r="AH100" s="53">
        <f t="shared" si="132"/>
        <v>0</v>
      </c>
      <c r="AI100" s="36" t="s">
        <v>10</v>
      </c>
      <c r="AJ100" s="53">
        <f t="shared" si="133"/>
        <v>0</v>
      </c>
      <c r="AK100" s="53">
        <f t="shared" si="134"/>
        <v>0</v>
      </c>
      <c r="AL100" s="53">
        <f t="shared" si="135"/>
        <v>0</v>
      </c>
      <c r="AN100" s="53">
        <v>21</v>
      </c>
      <c r="AO100" s="53">
        <f>G100*0.564660121</f>
        <v>0</v>
      </c>
      <c r="AP100" s="53">
        <f>G100*(1-0.564660121)</f>
        <v>0</v>
      </c>
      <c r="AQ100" s="54" t="s">
        <v>134</v>
      </c>
      <c r="AV100" s="53">
        <f t="shared" si="136"/>
        <v>0</v>
      </c>
      <c r="AW100" s="53">
        <f t="shared" si="137"/>
        <v>0</v>
      </c>
      <c r="AX100" s="53">
        <f t="shared" si="138"/>
        <v>0</v>
      </c>
      <c r="AY100" s="54" t="s">
        <v>324</v>
      </c>
      <c r="AZ100" s="54" t="s">
        <v>325</v>
      </c>
      <c r="BA100" s="36" t="s">
        <v>116</v>
      </c>
      <c r="BC100" s="53">
        <f t="shared" si="139"/>
        <v>0</v>
      </c>
      <c r="BD100" s="53">
        <f t="shared" si="140"/>
        <v>0</v>
      </c>
      <c r="BE100" s="53">
        <v>0</v>
      </c>
      <c r="BF100" s="53">
        <f>100</f>
        <v>100</v>
      </c>
      <c r="BH100" s="53">
        <f t="shared" si="141"/>
        <v>0</v>
      </c>
      <c r="BI100" s="53">
        <f t="shared" si="142"/>
        <v>0</v>
      </c>
      <c r="BJ100" s="53">
        <f t="shared" si="143"/>
        <v>0</v>
      </c>
      <c r="BK100" s="54" t="s">
        <v>117</v>
      </c>
      <c r="BL100" s="53">
        <v>721</v>
      </c>
      <c r="BW100" s="53">
        <v>21</v>
      </c>
      <c r="BX100" s="3" t="s">
        <v>374</v>
      </c>
    </row>
    <row r="101" spans="1:76" ht="23" x14ac:dyDescent="0.35">
      <c r="A101" s="1" t="s">
        <v>375</v>
      </c>
      <c r="B101" s="2" t="s">
        <v>376</v>
      </c>
      <c r="C101" s="91" t="s">
        <v>377</v>
      </c>
      <c r="D101" s="88"/>
      <c r="E101" s="2" t="s">
        <v>121</v>
      </c>
      <c r="F101" s="53">
        <v>4</v>
      </c>
      <c r="G101" s="77">
        <v>0</v>
      </c>
      <c r="H101" s="53">
        <f t="shared" si="124"/>
        <v>0</v>
      </c>
      <c r="I101" s="79" t="s">
        <v>1688</v>
      </c>
      <c r="J101" s="49"/>
      <c r="Z101" s="53">
        <f t="shared" si="125"/>
        <v>0</v>
      </c>
      <c r="AB101" s="53">
        <f t="shared" si="126"/>
        <v>0</v>
      </c>
      <c r="AC101" s="53">
        <f t="shared" si="127"/>
        <v>0</v>
      </c>
      <c r="AD101" s="53">
        <f t="shared" si="128"/>
        <v>0</v>
      </c>
      <c r="AE101" s="53">
        <f t="shared" si="129"/>
        <v>0</v>
      </c>
      <c r="AF101" s="53">
        <f t="shared" si="130"/>
        <v>0</v>
      </c>
      <c r="AG101" s="53">
        <f t="shared" si="131"/>
        <v>0</v>
      </c>
      <c r="AH101" s="53">
        <f t="shared" si="132"/>
        <v>0</v>
      </c>
      <c r="AI101" s="36" t="s">
        <v>10</v>
      </c>
      <c r="AJ101" s="53">
        <f t="shared" si="133"/>
        <v>0</v>
      </c>
      <c r="AK101" s="53">
        <f t="shared" si="134"/>
        <v>0</v>
      </c>
      <c r="AL101" s="53">
        <f t="shared" si="135"/>
        <v>0</v>
      </c>
      <c r="AN101" s="53">
        <v>21</v>
      </c>
      <c r="AO101" s="53">
        <f>G101*0</f>
        <v>0</v>
      </c>
      <c r="AP101" s="53">
        <f>G101*(1-0)</f>
        <v>0</v>
      </c>
      <c r="AQ101" s="54" t="s">
        <v>134</v>
      </c>
      <c r="AV101" s="53">
        <f t="shared" si="136"/>
        <v>0</v>
      </c>
      <c r="AW101" s="53">
        <f t="shared" si="137"/>
        <v>0</v>
      </c>
      <c r="AX101" s="53">
        <f t="shared" si="138"/>
        <v>0</v>
      </c>
      <c r="AY101" s="54" t="s">
        <v>324</v>
      </c>
      <c r="AZ101" s="54" t="s">
        <v>325</v>
      </c>
      <c r="BA101" s="36" t="s">
        <v>116</v>
      </c>
      <c r="BC101" s="53">
        <f t="shared" si="139"/>
        <v>0</v>
      </c>
      <c r="BD101" s="53">
        <f t="shared" si="140"/>
        <v>0</v>
      </c>
      <c r="BE101" s="53">
        <v>0</v>
      </c>
      <c r="BF101" s="53">
        <f>101</f>
        <v>101</v>
      </c>
      <c r="BH101" s="53">
        <f t="shared" si="141"/>
        <v>0</v>
      </c>
      <c r="BI101" s="53">
        <f t="shared" si="142"/>
        <v>0</v>
      </c>
      <c r="BJ101" s="53">
        <f t="shared" si="143"/>
        <v>0</v>
      </c>
      <c r="BK101" s="54" t="s">
        <v>117</v>
      </c>
      <c r="BL101" s="53">
        <v>721</v>
      </c>
      <c r="BW101" s="53">
        <v>21</v>
      </c>
      <c r="BX101" s="3" t="s">
        <v>377</v>
      </c>
    </row>
    <row r="102" spans="1:76" ht="25" x14ac:dyDescent="0.35">
      <c r="A102" s="1" t="s">
        <v>378</v>
      </c>
      <c r="B102" s="2" t="s">
        <v>379</v>
      </c>
      <c r="C102" s="91" t="s">
        <v>380</v>
      </c>
      <c r="D102" s="88"/>
      <c r="E102" s="2" t="s">
        <v>121</v>
      </c>
      <c r="F102" s="53">
        <v>2</v>
      </c>
      <c r="G102" s="77">
        <v>0</v>
      </c>
      <c r="H102" s="53">
        <f t="shared" si="124"/>
        <v>0</v>
      </c>
      <c r="I102" s="79" t="s">
        <v>1688</v>
      </c>
      <c r="J102" s="49"/>
      <c r="Z102" s="53">
        <f t="shared" si="125"/>
        <v>0</v>
      </c>
      <c r="AB102" s="53">
        <f t="shared" si="126"/>
        <v>0</v>
      </c>
      <c r="AC102" s="53">
        <f t="shared" si="127"/>
        <v>0</v>
      </c>
      <c r="AD102" s="53">
        <f t="shared" si="128"/>
        <v>0</v>
      </c>
      <c r="AE102" s="53">
        <f t="shared" si="129"/>
        <v>0</v>
      </c>
      <c r="AF102" s="53">
        <f t="shared" si="130"/>
        <v>0</v>
      </c>
      <c r="AG102" s="53">
        <f t="shared" si="131"/>
        <v>0</v>
      </c>
      <c r="AH102" s="53">
        <f t="shared" si="132"/>
        <v>0</v>
      </c>
      <c r="AI102" s="36" t="s">
        <v>10</v>
      </c>
      <c r="AJ102" s="53">
        <f t="shared" si="133"/>
        <v>0</v>
      </c>
      <c r="AK102" s="53">
        <f t="shared" si="134"/>
        <v>0</v>
      </c>
      <c r="AL102" s="53">
        <f t="shared" si="135"/>
        <v>0</v>
      </c>
      <c r="AN102" s="53">
        <v>21</v>
      </c>
      <c r="AO102" s="53">
        <f>G102*0.961116392</f>
        <v>0</v>
      </c>
      <c r="AP102" s="53">
        <f>G102*(1-0.961116392)</f>
        <v>0</v>
      </c>
      <c r="AQ102" s="54" t="s">
        <v>134</v>
      </c>
      <c r="AV102" s="53">
        <f t="shared" si="136"/>
        <v>0</v>
      </c>
      <c r="AW102" s="53">
        <f t="shared" si="137"/>
        <v>0</v>
      </c>
      <c r="AX102" s="53">
        <f t="shared" si="138"/>
        <v>0</v>
      </c>
      <c r="AY102" s="54" t="s">
        <v>324</v>
      </c>
      <c r="AZ102" s="54" t="s">
        <v>325</v>
      </c>
      <c r="BA102" s="36" t="s">
        <v>116</v>
      </c>
      <c r="BC102" s="53">
        <f t="shared" si="139"/>
        <v>0</v>
      </c>
      <c r="BD102" s="53">
        <f t="shared" si="140"/>
        <v>0</v>
      </c>
      <c r="BE102" s="53">
        <v>0</v>
      </c>
      <c r="BF102" s="53">
        <f>102</f>
        <v>102</v>
      </c>
      <c r="BH102" s="53">
        <f t="shared" si="141"/>
        <v>0</v>
      </c>
      <c r="BI102" s="53">
        <f t="shared" si="142"/>
        <v>0</v>
      </c>
      <c r="BJ102" s="53">
        <f t="shared" si="143"/>
        <v>0</v>
      </c>
      <c r="BK102" s="54" t="s">
        <v>117</v>
      </c>
      <c r="BL102" s="53">
        <v>721</v>
      </c>
      <c r="BW102" s="53">
        <v>21</v>
      </c>
      <c r="BX102" s="3" t="s">
        <v>380</v>
      </c>
    </row>
    <row r="103" spans="1:76" ht="23" x14ac:dyDescent="0.35">
      <c r="A103" s="1" t="s">
        <v>381</v>
      </c>
      <c r="B103" s="2" t="s">
        <v>382</v>
      </c>
      <c r="C103" s="91" t="s">
        <v>383</v>
      </c>
      <c r="D103" s="88"/>
      <c r="E103" s="2" t="s">
        <v>121</v>
      </c>
      <c r="F103" s="53">
        <v>1</v>
      </c>
      <c r="G103" s="77">
        <v>0</v>
      </c>
      <c r="H103" s="53">
        <f t="shared" si="124"/>
        <v>0</v>
      </c>
      <c r="I103" s="79" t="s">
        <v>1688</v>
      </c>
      <c r="J103" s="49"/>
      <c r="Z103" s="53">
        <f t="shared" si="125"/>
        <v>0</v>
      </c>
      <c r="AB103" s="53">
        <f t="shared" si="126"/>
        <v>0</v>
      </c>
      <c r="AC103" s="53">
        <f t="shared" si="127"/>
        <v>0</v>
      </c>
      <c r="AD103" s="53">
        <f t="shared" si="128"/>
        <v>0</v>
      </c>
      <c r="AE103" s="53">
        <f t="shared" si="129"/>
        <v>0</v>
      </c>
      <c r="AF103" s="53">
        <f t="shared" si="130"/>
        <v>0</v>
      </c>
      <c r="AG103" s="53">
        <f t="shared" si="131"/>
        <v>0</v>
      </c>
      <c r="AH103" s="53">
        <f t="shared" si="132"/>
        <v>0</v>
      </c>
      <c r="AI103" s="36" t="s">
        <v>10</v>
      </c>
      <c r="AJ103" s="53">
        <f t="shared" si="133"/>
        <v>0</v>
      </c>
      <c r="AK103" s="53">
        <f t="shared" si="134"/>
        <v>0</v>
      </c>
      <c r="AL103" s="53">
        <f t="shared" si="135"/>
        <v>0</v>
      </c>
      <c r="AN103" s="53">
        <v>21</v>
      </c>
      <c r="AO103" s="53">
        <f>G103*0.968699187</f>
        <v>0</v>
      </c>
      <c r="AP103" s="53">
        <f>G103*(1-0.968699187)</f>
        <v>0</v>
      </c>
      <c r="AQ103" s="54" t="s">
        <v>134</v>
      </c>
      <c r="AV103" s="53">
        <f t="shared" si="136"/>
        <v>0</v>
      </c>
      <c r="AW103" s="53">
        <f t="shared" si="137"/>
        <v>0</v>
      </c>
      <c r="AX103" s="53">
        <f t="shared" si="138"/>
        <v>0</v>
      </c>
      <c r="AY103" s="54" t="s">
        <v>324</v>
      </c>
      <c r="AZ103" s="54" t="s">
        <v>325</v>
      </c>
      <c r="BA103" s="36" t="s">
        <v>116</v>
      </c>
      <c r="BC103" s="53">
        <f t="shared" si="139"/>
        <v>0</v>
      </c>
      <c r="BD103" s="53">
        <f t="shared" si="140"/>
        <v>0</v>
      </c>
      <c r="BE103" s="53">
        <v>0</v>
      </c>
      <c r="BF103" s="53">
        <f>103</f>
        <v>103</v>
      </c>
      <c r="BH103" s="53">
        <f t="shared" si="141"/>
        <v>0</v>
      </c>
      <c r="BI103" s="53">
        <f t="shared" si="142"/>
        <v>0</v>
      </c>
      <c r="BJ103" s="53">
        <f t="shared" si="143"/>
        <v>0</v>
      </c>
      <c r="BK103" s="54" t="s">
        <v>117</v>
      </c>
      <c r="BL103" s="53">
        <v>721</v>
      </c>
      <c r="BW103" s="53">
        <v>21</v>
      </c>
      <c r="BX103" s="3" t="s">
        <v>383</v>
      </c>
    </row>
    <row r="104" spans="1:76" ht="23" x14ac:dyDescent="0.35">
      <c r="A104" s="1" t="s">
        <v>384</v>
      </c>
      <c r="B104" s="2" t="s">
        <v>385</v>
      </c>
      <c r="C104" s="91" t="s">
        <v>386</v>
      </c>
      <c r="D104" s="88"/>
      <c r="E104" s="2" t="s">
        <v>121</v>
      </c>
      <c r="F104" s="53">
        <v>1</v>
      </c>
      <c r="G104" s="77">
        <v>0</v>
      </c>
      <c r="H104" s="53">
        <f t="shared" si="124"/>
        <v>0</v>
      </c>
      <c r="I104" s="79" t="s">
        <v>1688</v>
      </c>
      <c r="J104" s="49"/>
      <c r="Z104" s="53">
        <f t="shared" si="125"/>
        <v>0</v>
      </c>
      <c r="AB104" s="53">
        <f t="shared" si="126"/>
        <v>0</v>
      </c>
      <c r="AC104" s="53">
        <f t="shared" si="127"/>
        <v>0</v>
      </c>
      <c r="AD104" s="53">
        <f t="shared" si="128"/>
        <v>0</v>
      </c>
      <c r="AE104" s="53">
        <f t="shared" si="129"/>
        <v>0</v>
      </c>
      <c r="AF104" s="53">
        <f t="shared" si="130"/>
        <v>0</v>
      </c>
      <c r="AG104" s="53">
        <f t="shared" si="131"/>
        <v>0</v>
      </c>
      <c r="AH104" s="53">
        <f t="shared" si="132"/>
        <v>0</v>
      </c>
      <c r="AI104" s="36" t="s">
        <v>10</v>
      </c>
      <c r="AJ104" s="53">
        <f t="shared" si="133"/>
        <v>0</v>
      </c>
      <c r="AK104" s="53">
        <f t="shared" si="134"/>
        <v>0</v>
      </c>
      <c r="AL104" s="53">
        <f t="shared" si="135"/>
        <v>0</v>
      </c>
      <c r="AN104" s="53">
        <v>21</v>
      </c>
      <c r="AO104" s="53">
        <f>G104*0.95764467</f>
        <v>0</v>
      </c>
      <c r="AP104" s="53">
        <f>G104*(1-0.95764467)</f>
        <v>0</v>
      </c>
      <c r="AQ104" s="54" t="s">
        <v>134</v>
      </c>
      <c r="AV104" s="53">
        <f t="shared" si="136"/>
        <v>0</v>
      </c>
      <c r="AW104" s="53">
        <f t="shared" si="137"/>
        <v>0</v>
      </c>
      <c r="AX104" s="53">
        <f t="shared" si="138"/>
        <v>0</v>
      </c>
      <c r="AY104" s="54" t="s">
        <v>324</v>
      </c>
      <c r="AZ104" s="54" t="s">
        <v>325</v>
      </c>
      <c r="BA104" s="36" t="s">
        <v>116</v>
      </c>
      <c r="BC104" s="53">
        <f t="shared" si="139"/>
        <v>0</v>
      </c>
      <c r="BD104" s="53">
        <f t="shared" si="140"/>
        <v>0</v>
      </c>
      <c r="BE104" s="53">
        <v>0</v>
      </c>
      <c r="BF104" s="53">
        <f>104</f>
        <v>104</v>
      </c>
      <c r="BH104" s="53">
        <f t="shared" si="141"/>
        <v>0</v>
      </c>
      <c r="BI104" s="53">
        <f t="shared" si="142"/>
        <v>0</v>
      </c>
      <c r="BJ104" s="53">
        <f t="shared" si="143"/>
        <v>0</v>
      </c>
      <c r="BK104" s="54" t="s">
        <v>117</v>
      </c>
      <c r="BL104" s="53">
        <v>721</v>
      </c>
      <c r="BW104" s="53">
        <v>21</v>
      </c>
      <c r="BX104" s="3" t="s">
        <v>386</v>
      </c>
    </row>
    <row r="105" spans="1:76" ht="23" x14ac:dyDescent="0.35">
      <c r="A105" s="1" t="s">
        <v>387</v>
      </c>
      <c r="B105" s="2" t="s">
        <v>388</v>
      </c>
      <c r="C105" s="91" t="s">
        <v>389</v>
      </c>
      <c r="D105" s="88"/>
      <c r="E105" s="2" t="s">
        <v>121</v>
      </c>
      <c r="F105" s="53">
        <v>4</v>
      </c>
      <c r="G105" s="77">
        <v>0</v>
      </c>
      <c r="H105" s="53">
        <f t="shared" si="124"/>
        <v>0</v>
      </c>
      <c r="I105" s="79" t="s">
        <v>1688</v>
      </c>
      <c r="J105" s="49"/>
      <c r="Z105" s="53">
        <f t="shared" si="125"/>
        <v>0</v>
      </c>
      <c r="AB105" s="53">
        <f t="shared" si="126"/>
        <v>0</v>
      </c>
      <c r="AC105" s="53">
        <f t="shared" si="127"/>
        <v>0</v>
      </c>
      <c r="AD105" s="53">
        <f t="shared" si="128"/>
        <v>0</v>
      </c>
      <c r="AE105" s="53">
        <f t="shared" si="129"/>
        <v>0</v>
      </c>
      <c r="AF105" s="53">
        <f t="shared" si="130"/>
        <v>0</v>
      </c>
      <c r="AG105" s="53">
        <f t="shared" si="131"/>
        <v>0</v>
      </c>
      <c r="AH105" s="53">
        <f t="shared" si="132"/>
        <v>0</v>
      </c>
      <c r="AI105" s="36" t="s">
        <v>10</v>
      </c>
      <c r="AJ105" s="53">
        <f t="shared" si="133"/>
        <v>0</v>
      </c>
      <c r="AK105" s="53">
        <f t="shared" si="134"/>
        <v>0</v>
      </c>
      <c r="AL105" s="53">
        <f t="shared" si="135"/>
        <v>0</v>
      </c>
      <c r="AN105" s="53">
        <v>21</v>
      </c>
      <c r="AO105" s="53">
        <f>G105*0.931089082</f>
        <v>0</v>
      </c>
      <c r="AP105" s="53">
        <f>G105*(1-0.931089082)</f>
        <v>0</v>
      </c>
      <c r="AQ105" s="54" t="s">
        <v>134</v>
      </c>
      <c r="AV105" s="53">
        <f t="shared" si="136"/>
        <v>0</v>
      </c>
      <c r="AW105" s="53">
        <f t="shared" si="137"/>
        <v>0</v>
      </c>
      <c r="AX105" s="53">
        <f t="shared" si="138"/>
        <v>0</v>
      </c>
      <c r="AY105" s="54" t="s">
        <v>324</v>
      </c>
      <c r="AZ105" s="54" t="s">
        <v>325</v>
      </c>
      <c r="BA105" s="36" t="s">
        <v>116</v>
      </c>
      <c r="BC105" s="53">
        <f t="shared" si="139"/>
        <v>0</v>
      </c>
      <c r="BD105" s="53">
        <f t="shared" si="140"/>
        <v>0</v>
      </c>
      <c r="BE105" s="53">
        <v>0</v>
      </c>
      <c r="BF105" s="53">
        <f>105</f>
        <v>105</v>
      </c>
      <c r="BH105" s="53">
        <f t="shared" si="141"/>
        <v>0</v>
      </c>
      <c r="BI105" s="53">
        <f t="shared" si="142"/>
        <v>0</v>
      </c>
      <c r="BJ105" s="53">
        <f t="shared" si="143"/>
        <v>0</v>
      </c>
      <c r="BK105" s="54" t="s">
        <v>117</v>
      </c>
      <c r="BL105" s="53">
        <v>721</v>
      </c>
      <c r="BW105" s="53">
        <v>21</v>
      </c>
      <c r="BX105" s="3" t="s">
        <v>389</v>
      </c>
    </row>
    <row r="106" spans="1:76" ht="23" x14ac:dyDescent="0.35">
      <c r="A106" s="1" t="s">
        <v>390</v>
      </c>
      <c r="B106" s="2" t="s">
        <v>391</v>
      </c>
      <c r="C106" s="91" t="s">
        <v>392</v>
      </c>
      <c r="D106" s="88"/>
      <c r="E106" s="2" t="s">
        <v>121</v>
      </c>
      <c r="F106" s="53">
        <v>4</v>
      </c>
      <c r="G106" s="77">
        <v>0</v>
      </c>
      <c r="H106" s="53">
        <f t="shared" si="124"/>
        <v>0</v>
      </c>
      <c r="I106" s="79" t="s">
        <v>1688</v>
      </c>
      <c r="J106" s="49"/>
      <c r="Z106" s="53">
        <f t="shared" si="125"/>
        <v>0</v>
      </c>
      <c r="AB106" s="53">
        <f t="shared" si="126"/>
        <v>0</v>
      </c>
      <c r="AC106" s="53">
        <f t="shared" si="127"/>
        <v>0</v>
      </c>
      <c r="AD106" s="53">
        <f t="shared" si="128"/>
        <v>0</v>
      </c>
      <c r="AE106" s="53">
        <f t="shared" si="129"/>
        <v>0</v>
      </c>
      <c r="AF106" s="53">
        <f t="shared" si="130"/>
        <v>0</v>
      </c>
      <c r="AG106" s="53">
        <f t="shared" si="131"/>
        <v>0</v>
      </c>
      <c r="AH106" s="53">
        <f t="shared" si="132"/>
        <v>0</v>
      </c>
      <c r="AI106" s="36" t="s">
        <v>10</v>
      </c>
      <c r="AJ106" s="53">
        <f t="shared" si="133"/>
        <v>0</v>
      </c>
      <c r="AK106" s="53">
        <f t="shared" si="134"/>
        <v>0</v>
      </c>
      <c r="AL106" s="53">
        <f t="shared" si="135"/>
        <v>0</v>
      </c>
      <c r="AN106" s="53">
        <v>21</v>
      </c>
      <c r="AO106" s="53">
        <f>G106*0.309956607</f>
        <v>0</v>
      </c>
      <c r="AP106" s="53">
        <f>G106*(1-0.309956607)</f>
        <v>0</v>
      </c>
      <c r="AQ106" s="54" t="s">
        <v>134</v>
      </c>
      <c r="AV106" s="53">
        <f t="shared" si="136"/>
        <v>0</v>
      </c>
      <c r="AW106" s="53">
        <f t="shared" si="137"/>
        <v>0</v>
      </c>
      <c r="AX106" s="53">
        <f t="shared" si="138"/>
        <v>0</v>
      </c>
      <c r="AY106" s="54" t="s">
        <v>324</v>
      </c>
      <c r="AZ106" s="54" t="s">
        <v>325</v>
      </c>
      <c r="BA106" s="36" t="s">
        <v>116</v>
      </c>
      <c r="BC106" s="53">
        <f t="shared" si="139"/>
        <v>0</v>
      </c>
      <c r="BD106" s="53">
        <f t="shared" si="140"/>
        <v>0</v>
      </c>
      <c r="BE106" s="53">
        <v>0</v>
      </c>
      <c r="BF106" s="53">
        <f>106</f>
        <v>106</v>
      </c>
      <c r="BH106" s="53">
        <f t="shared" si="141"/>
        <v>0</v>
      </c>
      <c r="BI106" s="53">
        <f t="shared" si="142"/>
        <v>0</v>
      </c>
      <c r="BJ106" s="53">
        <f t="shared" si="143"/>
        <v>0</v>
      </c>
      <c r="BK106" s="54" t="s">
        <v>117</v>
      </c>
      <c r="BL106" s="53">
        <v>721</v>
      </c>
      <c r="BW106" s="53">
        <v>21</v>
      </c>
      <c r="BX106" s="3" t="s">
        <v>392</v>
      </c>
    </row>
    <row r="107" spans="1:76" ht="23" x14ac:dyDescent="0.35">
      <c r="A107" s="1" t="s">
        <v>393</v>
      </c>
      <c r="B107" s="2" t="s">
        <v>394</v>
      </c>
      <c r="C107" s="91" t="s">
        <v>395</v>
      </c>
      <c r="D107" s="88"/>
      <c r="E107" s="2" t="s">
        <v>121</v>
      </c>
      <c r="F107" s="53">
        <v>1</v>
      </c>
      <c r="G107" s="77">
        <v>0</v>
      </c>
      <c r="H107" s="53">
        <f t="shared" si="124"/>
        <v>0</v>
      </c>
      <c r="I107" s="79" t="s">
        <v>1688</v>
      </c>
      <c r="J107" s="49"/>
      <c r="Z107" s="53">
        <f t="shared" si="125"/>
        <v>0</v>
      </c>
      <c r="AB107" s="53">
        <f t="shared" si="126"/>
        <v>0</v>
      </c>
      <c r="AC107" s="53">
        <f t="shared" si="127"/>
        <v>0</v>
      </c>
      <c r="AD107" s="53">
        <f t="shared" si="128"/>
        <v>0</v>
      </c>
      <c r="AE107" s="53">
        <f t="shared" si="129"/>
        <v>0</v>
      </c>
      <c r="AF107" s="53">
        <f t="shared" si="130"/>
        <v>0</v>
      </c>
      <c r="AG107" s="53">
        <f t="shared" si="131"/>
        <v>0</v>
      </c>
      <c r="AH107" s="53">
        <f t="shared" si="132"/>
        <v>0</v>
      </c>
      <c r="AI107" s="36" t="s">
        <v>10</v>
      </c>
      <c r="AJ107" s="53">
        <f t="shared" si="133"/>
        <v>0</v>
      </c>
      <c r="AK107" s="53">
        <f t="shared" si="134"/>
        <v>0</v>
      </c>
      <c r="AL107" s="53">
        <f t="shared" si="135"/>
        <v>0</v>
      </c>
      <c r="AN107" s="53">
        <v>21</v>
      </c>
      <c r="AO107" s="53">
        <f>G107*0.956500626</f>
        <v>0</v>
      </c>
      <c r="AP107" s="53">
        <f>G107*(1-0.956500626)</f>
        <v>0</v>
      </c>
      <c r="AQ107" s="54" t="s">
        <v>134</v>
      </c>
      <c r="AV107" s="53">
        <f t="shared" si="136"/>
        <v>0</v>
      </c>
      <c r="AW107" s="53">
        <f t="shared" si="137"/>
        <v>0</v>
      </c>
      <c r="AX107" s="53">
        <f t="shared" si="138"/>
        <v>0</v>
      </c>
      <c r="AY107" s="54" t="s">
        <v>324</v>
      </c>
      <c r="AZ107" s="54" t="s">
        <v>325</v>
      </c>
      <c r="BA107" s="36" t="s">
        <v>116</v>
      </c>
      <c r="BC107" s="53">
        <f t="shared" si="139"/>
        <v>0</v>
      </c>
      <c r="BD107" s="53">
        <f t="shared" si="140"/>
        <v>0</v>
      </c>
      <c r="BE107" s="53">
        <v>0</v>
      </c>
      <c r="BF107" s="53">
        <f>107</f>
        <v>107</v>
      </c>
      <c r="BH107" s="53">
        <f t="shared" si="141"/>
        <v>0</v>
      </c>
      <c r="BI107" s="53">
        <f t="shared" si="142"/>
        <v>0</v>
      </c>
      <c r="BJ107" s="53">
        <f t="shared" si="143"/>
        <v>0</v>
      </c>
      <c r="BK107" s="54" t="s">
        <v>117</v>
      </c>
      <c r="BL107" s="53">
        <v>721</v>
      </c>
      <c r="BW107" s="53">
        <v>21</v>
      </c>
      <c r="BX107" s="3" t="s">
        <v>395</v>
      </c>
    </row>
    <row r="108" spans="1:76" ht="23" x14ac:dyDescent="0.35">
      <c r="A108" s="1" t="s">
        <v>396</v>
      </c>
      <c r="B108" s="2" t="s">
        <v>397</v>
      </c>
      <c r="C108" s="91" t="s">
        <v>398</v>
      </c>
      <c r="D108" s="88"/>
      <c r="E108" s="2" t="s">
        <v>121</v>
      </c>
      <c r="F108" s="53">
        <v>1</v>
      </c>
      <c r="G108" s="77">
        <v>0</v>
      </c>
      <c r="H108" s="53">
        <f t="shared" si="124"/>
        <v>0</v>
      </c>
      <c r="I108" s="79" t="s">
        <v>1688</v>
      </c>
      <c r="J108" s="49"/>
      <c r="Z108" s="53">
        <f t="shared" si="125"/>
        <v>0</v>
      </c>
      <c r="AB108" s="53">
        <f t="shared" si="126"/>
        <v>0</v>
      </c>
      <c r="AC108" s="53">
        <f t="shared" si="127"/>
        <v>0</v>
      </c>
      <c r="AD108" s="53">
        <f t="shared" si="128"/>
        <v>0</v>
      </c>
      <c r="AE108" s="53">
        <f t="shared" si="129"/>
        <v>0</v>
      </c>
      <c r="AF108" s="53">
        <f t="shared" si="130"/>
        <v>0</v>
      </c>
      <c r="AG108" s="53">
        <f t="shared" si="131"/>
        <v>0</v>
      </c>
      <c r="AH108" s="53">
        <f t="shared" si="132"/>
        <v>0</v>
      </c>
      <c r="AI108" s="36" t="s">
        <v>10</v>
      </c>
      <c r="AJ108" s="53">
        <f t="shared" si="133"/>
        <v>0</v>
      </c>
      <c r="AK108" s="53">
        <f t="shared" si="134"/>
        <v>0</v>
      </c>
      <c r="AL108" s="53">
        <f t="shared" si="135"/>
        <v>0</v>
      </c>
      <c r="AN108" s="53">
        <v>21</v>
      </c>
      <c r="AO108" s="53">
        <f>G108*0.835494496</f>
        <v>0</v>
      </c>
      <c r="AP108" s="53">
        <f>G108*(1-0.835494496)</f>
        <v>0</v>
      </c>
      <c r="AQ108" s="54" t="s">
        <v>134</v>
      </c>
      <c r="AV108" s="53">
        <f t="shared" si="136"/>
        <v>0</v>
      </c>
      <c r="AW108" s="53">
        <f t="shared" si="137"/>
        <v>0</v>
      </c>
      <c r="AX108" s="53">
        <f t="shared" si="138"/>
        <v>0</v>
      </c>
      <c r="AY108" s="54" t="s">
        <v>324</v>
      </c>
      <c r="AZ108" s="54" t="s">
        <v>325</v>
      </c>
      <c r="BA108" s="36" t="s">
        <v>116</v>
      </c>
      <c r="BC108" s="53">
        <f t="shared" si="139"/>
        <v>0</v>
      </c>
      <c r="BD108" s="53">
        <f t="shared" si="140"/>
        <v>0</v>
      </c>
      <c r="BE108" s="53">
        <v>0</v>
      </c>
      <c r="BF108" s="53">
        <f>108</f>
        <v>108</v>
      </c>
      <c r="BH108" s="53">
        <f t="shared" si="141"/>
        <v>0</v>
      </c>
      <c r="BI108" s="53">
        <f t="shared" si="142"/>
        <v>0</v>
      </c>
      <c r="BJ108" s="53">
        <f t="shared" si="143"/>
        <v>0</v>
      </c>
      <c r="BK108" s="54" t="s">
        <v>117</v>
      </c>
      <c r="BL108" s="53">
        <v>721</v>
      </c>
      <c r="BW108" s="53">
        <v>21</v>
      </c>
      <c r="BX108" s="3" t="s">
        <v>398</v>
      </c>
    </row>
    <row r="109" spans="1:76" ht="23" x14ac:dyDescent="0.35">
      <c r="A109" s="1" t="s">
        <v>399</v>
      </c>
      <c r="B109" s="2" t="s">
        <v>400</v>
      </c>
      <c r="C109" s="91" t="s">
        <v>401</v>
      </c>
      <c r="D109" s="88"/>
      <c r="E109" s="2" t="s">
        <v>121</v>
      </c>
      <c r="F109" s="53">
        <v>3</v>
      </c>
      <c r="G109" s="77">
        <v>0</v>
      </c>
      <c r="H109" s="53">
        <f t="shared" si="124"/>
        <v>0</v>
      </c>
      <c r="I109" s="79" t="s">
        <v>1688</v>
      </c>
      <c r="J109" s="49"/>
      <c r="Z109" s="53">
        <f t="shared" si="125"/>
        <v>0</v>
      </c>
      <c r="AB109" s="53">
        <f t="shared" si="126"/>
        <v>0</v>
      </c>
      <c r="AC109" s="53">
        <f t="shared" si="127"/>
        <v>0</v>
      </c>
      <c r="AD109" s="53">
        <f t="shared" si="128"/>
        <v>0</v>
      </c>
      <c r="AE109" s="53">
        <f t="shared" si="129"/>
        <v>0</v>
      </c>
      <c r="AF109" s="53">
        <f t="shared" si="130"/>
        <v>0</v>
      </c>
      <c r="AG109" s="53">
        <f t="shared" si="131"/>
        <v>0</v>
      </c>
      <c r="AH109" s="53">
        <f t="shared" si="132"/>
        <v>0</v>
      </c>
      <c r="AI109" s="36" t="s">
        <v>10</v>
      </c>
      <c r="AJ109" s="53">
        <f t="shared" si="133"/>
        <v>0</v>
      </c>
      <c r="AK109" s="53">
        <f t="shared" si="134"/>
        <v>0</v>
      </c>
      <c r="AL109" s="53">
        <f t="shared" si="135"/>
        <v>0</v>
      </c>
      <c r="AN109" s="53">
        <v>21</v>
      </c>
      <c r="AO109" s="53">
        <f>G109*0.9515216</f>
        <v>0</v>
      </c>
      <c r="AP109" s="53">
        <f>G109*(1-0.9515216)</f>
        <v>0</v>
      </c>
      <c r="AQ109" s="54" t="s">
        <v>134</v>
      </c>
      <c r="AV109" s="53">
        <f t="shared" si="136"/>
        <v>0</v>
      </c>
      <c r="AW109" s="53">
        <f t="shared" si="137"/>
        <v>0</v>
      </c>
      <c r="AX109" s="53">
        <f t="shared" si="138"/>
        <v>0</v>
      </c>
      <c r="AY109" s="54" t="s">
        <v>324</v>
      </c>
      <c r="AZ109" s="54" t="s">
        <v>325</v>
      </c>
      <c r="BA109" s="36" t="s">
        <v>116</v>
      </c>
      <c r="BC109" s="53">
        <f t="shared" si="139"/>
        <v>0</v>
      </c>
      <c r="BD109" s="53">
        <f t="shared" si="140"/>
        <v>0</v>
      </c>
      <c r="BE109" s="53">
        <v>0</v>
      </c>
      <c r="BF109" s="53">
        <f>109</f>
        <v>109</v>
      </c>
      <c r="BH109" s="53">
        <f t="shared" si="141"/>
        <v>0</v>
      </c>
      <c r="BI109" s="53">
        <f t="shared" si="142"/>
        <v>0</v>
      </c>
      <c r="BJ109" s="53">
        <f t="shared" si="143"/>
        <v>0</v>
      </c>
      <c r="BK109" s="54" t="s">
        <v>117</v>
      </c>
      <c r="BL109" s="53">
        <v>721</v>
      </c>
      <c r="BW109" s="53">
        <v>21</v>
      </c>
      <c r="BX109" s="3" t="s">
        <v>401</v>
      </c>
    </row>
    <row r="110" spans="1:76" ht="23" x14ac:dyDescent="0.35">
      <c r="A110" s="1" t="s">
        <v>402</v>
      </c>
      <c r="B110" s="2" t="s">
        <v>403</v>
      </c>
      <c r="C110" s="91" t="s">
        <v>404</v>
      </c>
      <c r="D110" s="88"/>
      <c r="E110" s="2" t="s">
        <v>137</v>
      </c>
      <c r="F110" s="53">
        <v>230</v>
      </c>
      <c r="G110" s="77">
        <v>0</v>
      </c>
      <c r="H110" s="53">
        <f t="shared" si="124"/>
        <v>0</v>
      </c>
      <c r="I110" s="79" t="s">
        <v>1688</v>
      </c>
      <c r="J110" s="49"/>
      <c r="Z110" s="53">
        <f t="shared" si="125"/>
        <v>0</v>
      </c>
      <c r="AB110" s="53">
        <f t="shared" si="126"/>
        <v>0</v>
      </c>
      <c r="AC110" s="53">
        <f t="shared" si="127"/>
        <v>0</v>
      </c>
      <c r="AD110" s="53">
        <f t="shared" si="128"/>
        <v>0</v>
      </c>
      <c r="AE110" s="53">
        <f t="shared" si="129"/>
        <v>0</v>
      </c>
      <c r="AF110" s="53">
        <f t="shared" si="130"/>
        <v>0</v>
      </c>
      <c r="AG110" s="53">
        <f t="shared" si="131"/>
        <v>0</v>
      </c>
      <c r="AH110" s="53">
        <f t="shared" si="132"/>
        <v>0</v>
      </c>
      <c r="AI110" s="36" t="s">
        <v>10</v>
      </c>
      <c r="AJ110" s="53">
        <f t="shared" si="133"/>
        <v>0</v>
      </c>
      <c r="AK110" s="53">
        <f t="shared" si="134"/>
        <v>0</v>
      </c>
      <c r="AL110" s="53">
        <f t="shared" si="135"/>
        <v>0</v>
      </c>
      <c r="AN110" s="53">
        <v>21</v>
      </c>
      <c r="AO110" s="53">
        <f>G110*0.079380416</f>
        <v>0</v>
      </c>
      <c r="AP110" s="53">
        <f>G110*(1-0.079380416)</f>
        <v>0</v>
      </c>
      <c r="AQ110" s="54" t="s">
        <v>134</v>
      </c>
      <c r="AV110" s="53">
        <f t="shared" si="136"/>
        <v>0</v>
      </c>
      <c r="AW110" s="53">
        <f t="shared" si="137"/>
        <v>0</v>
      </c>
      <c r="AX110" s="53">
        <f t="shared" si="138"/>
        <v>0</v>
      </c>
      <c r="AY110" s="54" t="s">
        <v>324</v>
      </c>
      <c r="AZ110" s="54" t="s">
        <v>325</v>
      </c>
      <c r="BA110" s="36" t="s">
        <v>116</v>
      </c>
      <c r="BC110" s="53">
        <f t="shared" si="139"/>
        <v>0</v>
      </c>
      <c r="BD110" s="53">
        <f t="shared" si="140"/>
        <v>0</v>
      </c>
      <c r="BE110" s="53">
        <v>0</v>
      </c>
      <c r="BF110" s="53">
        <f>110</f>
        <v>110</v>
      </c>
      <c r="BH110" s="53">
        <f t="shared" si="141"/>
        <v>0</v>
      </c>
      <c r="BI110" s="53">
        <f t="shared" si="142"/>
        <v>0</v>
      </c>
      <c r="BJ110" s="53">
        <f t="shared" si="143"/>
        <v>0</v>
      </c>
      <c r="BK110" s="54" t="s">
        <v>117</v>
      </c>
      <c r="BL110" s="53">
        <v>721</v>
      </c>
      <c r="BW110" s="53">
        <v>21</v>
      </c>
      <c r="BX110" s="3" t="s">
        <v>404</v>
      </c>
    </row>
    <row r="111" spans="1:76" ht="23" x14ac:dyDescent="0.35">
      <c r="A111" s="1" t="s">
        <v>405</v>
      </c>
      <c r="B111" s="2" t="s">
        <v>406</v>
      </c>
      <c r="C111" s="91" t="s">
        <v>407</v>
      </c>
      <c r="D111" s="88"/>
      <c r="E111" s="2" t="s">
        <v>121</v>
      </c>
      <c r="F111" s="53">
        <v>2</v>
      </c>
      <c r="G111" s="77">
        <v>0</v>
      </c>
      <c r="H111" s="53">
        <f t="shared" si="124"/>
        <v>0</v>
      </c>
      <c r="I111" s="79" t="s">
        <v>1688</v>
      </c>
      <c r="J111" s="49"/>
      <c r="Z111" s="53">
        <f t="shared" si="125"/>
        <v>0</v>
      </c>
      <c r="AB111" s="53">
        <f t="shared" si="126"/>
        <v>0</v>
      </c>
      <c r="AC111" s="53">
        <f t="shared" si="127"/>
        <v>0</v>
      </c>
      <c r="AD111" s="53">
        <f t="shared" si="128"/>
        <v>0</v>
      </c>
      <c r="AE111" s="53">
        <f t="shared" si="129"/>
        <v>0</v>
      </c>
      <c r="AF111" s="53">
        <f t="shared" si="130"/>
        <v>0</v>
      </c>
      <c r="AG111" s="53">
        <f t="shared" si="131"/>
        <v>0</v>
      </c>
      <c r="AH111" s="53">
        <f t="shared" si="132"/>
        <v>0</v>
      </c>
      <c r="AI111" s="36" t="s">
        <v>10</v>
      </c>
      <c r="AJ111" s="53">
        <f t="shared" si="133"/>
        <v>0</v>
      </c>
      <c r="AK111" s="53">
        <f t="shared" si="134"/>
        <v>0</v>
      </c>
      <c r="AL111" s="53">
        <f t="shared" si="135"/>
        <v>0</v>
      </c>
      <c r="AN111" s="53">
        <v>21</v>
      </c>
      <c r="AO111" s="53">
        <f>G111*0.076804173</f>
        <v>0</v>
      </c>
      <c r="AP111" s="53">
        <f>G111*(1-0.076804173)</f>
        <v>0</v>
      </c>
      <c r="AQ111" s="54" t="s">
        <v>134</v>
      </c>
      <c r="AV111" s="53">
        <f t="shared" si="136"/>
        <v>0</v>
      </c>
      <c r="AW111" s="53">
        <f t="shared" si="137"/>
        <v>0</v>
      </c>
      <c r="AX111" s="53">
        <f t="shared" si="138"/>
        <v>0</v>
      </c>
      <c r="AY111" s="54" t="s">
        <v>324</v>
      </c>
      <c r="AZ111" s="54" t="s">
        <v>325</v>
      </c>
      <c r="BA111" s="36" t="s">
        <v>116</v>
      </c>
      <c r="BC111" s="53">
        <f t="shared" si="139"/>
        <v>0</v>
      </c>
      <c r="BD111" s="53">
        <f t="shared" si="140"/>
        <v>0</v>
      </c>
      <c r="BE111" s="53">
        <v>0</v>
      </c>
      <c r="BF111" s="53">
        <f>111</f>
        <v>111</v>
      </c>
      <c r="BH111" s="53">
        <f t="shared" si="141"/>
        <v>0</v>
      </c>
      <c r="BI111" s="53">
        <f t="shared" si="142"/>
        <v>0</v>
      </c>
      <c r="BJ111" s="53">
        <f t="shared" si="143"/>
        <v>0</v>
      </c>
      <c r="BK111" s="54" t="s">
        <v>117</v>
      </c>
      <c r="BL111" s="53">
        <v>721</v>
      </c>
      <c r="BW111" s="53">
        <v>21</v>
      </c>
      <c r="BX111" s="3" t="s">
        <v>407</v>
      </c>
    </row>
    <row r="112" spans="1:76" ht="23" x14ac:dyDescent="0.35">
      <c r="A112" s="1" t="s">
        <v>408</v>
      </c>
      <c r="B112" s="2" t="s">
        <v>409</v>
      </c>
      <c r="C112" s="91" t="s">
        <v>410</v>
      </c>
      <c r="D112" s="88"/>
      <c r="E112" s="2" t="s">
        <v>121</v>
      </c>
      <c r="F112" s="53">
        <v>8</v>
      </c>
      <c r="G112" s="77">
        <v>0</v>
      </c>
      <c r="H112" s="53">
        <f t="shared" si="124"/>
        <v>0</v>
      </c>
      <c r="I112" s="79" t="s">
        <v>1688</v>
      </c>
      <c r="J112" s="49"/>
      <c r="Z112" s="53">
        <f t="shared" si="125"/>
        <v>0</v>
      </c>
      <c r="AB112" s="53">
        <f t="shared" si="126"/>
        <v>0</v>
      </c>
      <c r="AC112" s="53">
        <f t="shared" si="127"/>
        <v>0</v>
      </c>
      <c r="AD112" s="53">
        <f t="shared" si="128"/>
        <v>0</v>
      </c>
      <c r="AE112" s="53">
        <f t="shared" si="129"/>
        <v>0</v>
      </c>
      <c r="AF112" s="53">
        <f t="shared" si="130"/>
        <v>0</v>
      </c>
      <c r="AG112" s="53">
        <f t="shared" si="131"/>
        <v>0</v>
      </c>
      <c r="AH112" s="53">
        <f t="shared" si="132"/>
        <v>0</v>
      </c>
      <c r="AI112" s="36" t="s">
        <v>10</v>
      </c>
      <c r="AJ112" s="53">
        <f t="shared" si="133"/>
        <v>0</v>
      </c>
      <c r="AK112" s="53">
        <f t="shared" si="134"/>
        <v>0</v>
      </c>
      <c r="AL112" s="53">
        <f t="shared" si="135"/>
        <v>0</v>
      </c>
      <c r="AN112" s="53">
        <v>21</v>
      </c>
      <c r="AO112" s="53">
        <f>G112*0.806106764</f>
        <v>0</v>
      </c>
      <c r="AP112" s="53">
        <f>G112*(1-0.806106764)</f>
        <v>0</v>
      </c>
      <c r="AQ112" s="54" t="s">
        <v>134</v>
      </c>
      <c r="AV112" s="53">
        <f t="shared" si="136"/>
        <v>0</v>
      </c>
      <c r="AW112" s="53">
        <f t="shared" si="137"/>
        <v>0</v>
      </c>
      <c r="AX112" s="53">
        <f t="shared" si="138"/>
        <v>0</v>
      </c>
      <c r="AY112" s="54" t="s">
        <v>324</v>
      </c>
      <c r="AZ112" s="54" t="s">
        <v>325</v>
      </c>
      <c r="BA112" s="36" t="s">
        <v>116</v>
      </c>
      <c r="BC112" s="53">
        <f t="shared" si="139"/>
        <v>0</v>
      </c>
      <c r="BD112" s="53">
        <f t="shared" si="140"/>
        <v>0</v>
      </c>
      <c r="BE112" s="53">
        <v>0</v>
      </c>
      <c r="BF112" s="53">
        <f>112</f>
        <v>112</v>
      </c>
      <c r="BH112" s="53">
        <f t="shared" si="141"/>
        <v>0</v>
      </c>
      <c r="BI112" s="53">
        <f t="shared" si="142"/>
        <v>0</v>
      </c>
      <c r="BJ112" s="53">
        <f t="shared" si="143"/>
        <v>0</v>
      </c>
      <c r="BK112" s="54" t="s">
        <v>117</v>
      </c>
      <c r="BL112" s="53">
        <v>721</v>
      </c>
      <c r="BW112" s="53">
        <v>21</v>
      </c>
      <c r="BX112" s="3" t="s">
        <v>410</v>
      </c>
    </row>
    <row r="113" spans="1:76" ht="35" customHeight="1" x14ac:dyDescent="0.35">
      <c r="A113" s="1" t="s">
        <v>411</v>
      </c>
      <c r="B113" s="2" t="s">
        <v>412</v>
      </c>
      <c r="C113" s="91" t="s">
        <v>413</v>
      </c>
      <c r="D113" s="88"/>
      <c r="E113" s="2" t="s">
        <v>414</v>
      </c>
      <c r="F113" s="53">
        <v>1</v>
      </c>
      <c r="G113" s="77">
        <v>0</v>
      </c>
      <c r="H113" s="53">
        <f t="shared" si="124"/>
        <v>0</v>
      </c>
      <c r="I113" s="79" t="s">
        <v>1688</v>
      </c>
      <c r="J113" s="49"/>
      <c r="Z113" s="53">
        <f t="shared" si="125"/>
        <v>0</v>
      </c>
      <c r="AB113" s="53">
        <f t="shared" si="126"/>
        <v>0</v>
      </c>
      <c r="AC113" s="53">
        <f t="shared" si="127"/>
        <v>0</v>
      </c>
      <c r="AD113" s="53">
        <f t="shared" si="128"/>
        <v>0</v>
      </c>
      <c r="AE113" s="53">
        <f t="shared" si="129"/>
        <v>0</v>
      </c>
      <c r="AF113" s="53">
        <f t="shared" si="130"/>
        <v>0</v>
      </c>
      <c r="AG113" s="53">
        <f t="shared" si="131"/>
        <v>0</v>
      </c>
      <c r="AH113" s="53">
        <f t="shared" si="132"/>
        <v>0</v>
      </c>
      <c r="AI113" s="36" t="s">
        <v>10</v>
      </c>
      <c r="AJ113" s="53">
        <f t="shared" si="133"/>
        <v>0</v>
      </c>
      <c r="AK113" s="53">
        <f t="shared" si="134"/>
        <v>0</v>
      </c>
      <c r="AL113" s="53">
        <f t="shared" si="135"/>
        <v>0</v>
      </c>
      <c r="AN113" s="53">
        <v>21</v>
      </c>
      <c r="AO113" s="53">
        <f>G113*0.870658666</f>
        <v>0</v>
      </c>
      <c r="AP113" s="53">
        <f>G113*(1-0.870658666)</f>
        <v>0</v>
      </c>
      <c r="AQ113" s="54" t="s">
        <v>134</v>
      </c>
      <c r="AV113" s="53">
        <f t="shared" si="136"/>
        <v>0</v>
      </c>
      <c r="AW113" s="53">
        <f t="shared" si="137"/>
        <v>0</v>
      </c>
      <c r="AX113" s="53">
        <f t="shared" si="138"/>
        <v>0</v>
      </c>
      <c r="AY113" s="54" t="s">
        <v>324</v>
      </c>
      <c r="AZ113" s="54" t="s">
        <v>325</v>
      </c>
      <c r="BA113" s="36" t="s">
        <v>116</v>
      </c>
      <c r="BC113" s="53">
        <f t="shared" si="139"/>
        <v>0</v>
      </c>
      <c r="BD113" s="53">
        <f t="shared" si="140"/>
        <v>0</v>
      </c>
      <c r="BE113" s="53">
        <v>0</v>
      </c>
      <c r="BF113" s="53">
        <f>113</f>
        <v>113</v>
      </c>
      <c r="BH113" s="53">
        <f t="shared" si="141"/>
        <v>0</v>
      </c>
      <c r="BI113" s="53">
        <f t="shared" si="142"/>
        <v>0</v>
      </c>
      <c r="BJ113" s="53">
        <f t="shared" si="143"/>
        <v>0</v>
      </c>
      <c r="BK113" s="54" t="s">
        <v>117</v>
      </c>
      <c r="BL113" s="53">
        <v>721</v>
      </c>
      <c r="BW113" s="53">
        <v>21</v>
      </c>
      <c r="BX113" s="3" t="s">
        <v>413</v>
      </c>
    </row>
    <row r="114" spans="1:76" ht="23" x14ac:dyDescent="0.35">
      <c r="A114" s="1" t="s">
        <v>415</v>
      </c>
      <c r="B114" s="2" t="s">
        <v>416</v>
      </c>
      <c r="C114" s="91" t="s">
        <v>417</v>
      </c>
      <c r="D114" s="88"/>
      <c r="E114" s="2" t="s">
        <v>414</v>
      </c>
      <c r="F114" s="53">
        <v>1</v>
      </c>
      <c r="G114" s="77">
        <v>0</v>
      </c>
      <c r="H114" s="53">
        <f t="shared" si="124"/>
        <v>0</v>
      </c>
      <c r="I114" s="79" t="s">
        <v>1688</v>
      </c>
      <c r="J114" s="49"/>
      <c r="Z114" s="53">
        <f t="shared" si="125"/>
        <v>0</v>
      </c>
      <c r="AB114" s="53">
        <f t="shared" si="126"/>
        <v>0</v>
      </c>
      <c r="AC114" s="53">
        <f t="shared" si="127"/>
        <v>0</v>
      </c>
      <c r="AD114" s="53">
        <f t="shared" si="128"/>
        <v>0</v>
      </c>
      <c r="AE114" s="53">
        <f t="shared" si="129"/>
        <v>0</v>
      </c>
      <c r="AF114" s="53">
        <f t="shared" si="130"/>
        <v>0</v>
      </c>
      <c r="AG114" s="53">
        <f t="shared" si="131"/>
        <v>0</v>
      </c>
      <c r="AH114" s="53">
        <f t="shared" si="132"/>
        <v>0</v>
      </c>
      <c r="AI114" s="36" t="s">
        <v>10</v>
      </c>
      <c r="AJ114" s="53">
        <f t="shared" si="133"/>
        <v>0</v>
      </c>
      <c r="AK114" s="53">
        <f t="shared" si="134"/>
        <v>0</v>
      </c>
      <c r="AL114" s="53">
        <f t="shared" si="135"/>
        <v>0</v>
      </c>
      <c r="AN114" s="53">
        <v>21</v>
      </c>
      <c r="AO114" s="53">
        <f>G114*0.058824719</f>
        <v>0</v>
      </c>
      <c r="AP114" s="53">
        <f>G114*(1-0.058824719)</f>
        <v>0</v>
      </c>
      <c r="AQ114" s="54" t="s">
        <v>134</v>
      </c>
      <c r="AV114" s="53">
        <f t="shared" si="136"/>
        <v>0</v>
      </c>
      <c r="AW114" s="53">
        <f t="shared" si="137"/>
        <v>0</v>
      </c>
      <c r="AX114" s="53">
        <f t="shared" si="138"/>
        <v>0</v>
      </c>
      <c r="AY114" s="54" t="s">
        <v>324</v>
      </c>
      <c r="AZ114" s="54" t="s">
        <v>325</v>
      </c>
      <c r="BA114" s="36" t="s">
        <v>116</v>
      </c>
      <c r="BC114" s="53">
        <f t="shared" si="139"/>
        <v>0</v>
      </c>
      <c r="BD114" s="53">
        <f t="shared" si="140"/>
        <v>0</v>
      </c>
      <c r="BE114" s="53">
        <v>0</v>
      </c>
      <c r="BF114" s="53">
        <f>114</f>
        <v>114</v>
      </c>
      <c r="BH114" s="53">
        <f t="shared" si="141"/>
        <v>0</v>
      </c>
      <c r="BI114" s="53">
        <f t="shared" si="142"/>
        <v>0</v>
      </c>
      <c r="BJ114" s="53">
        <f t="shared" si="143"/>
        <v>0</v>
      </c>
      <c r="BK114" s="54" t="s">
        <v>117</v>
      </c>
      <c r="BL114" s="53">
        <v>721</v>
      </c>
      <c r="BW114" s="53">
        <v>21</v>
      </c>
      <c r="BX114" s="3" t="s">
        <v>417</v>
      </c>
    </row>
    <row r="115" spans="1:76" ht="23" x14ac:dyDescent="0.35">
      <c r="A115" s="1" t="s">
        <v>418</v>
      </c>
      <c r="B115" s="2" t="s">
        <v>419</v>
      </c>
      <c r="C115" s="91" t="s">
        <v>420</v>
      </c>
      <c r="D115" s="88"/>
      <c r="E115" s="2" t="s">
        <v>183</v>
      </c>
      <c r="F115" s="53">
        <v>1.2</v>
      </c>
      <c r="G115" s="77">
        <v>0</v>
      </c>
      <c r="H115" s="53">
        <f t="shared" si="124"/>
        <v>0</v>
      </c>
      <c r="I115" s="79" t="s">
        <v>1688</v>
      </c>
      <c r="J115" s="49"/>
      <c r="Z115" s="53">
        <f t="shared" si="125"/>
        <v>0</v>
      </c>
      <c r="AB115" s="53">
        <f t="shared" si="126"/>
        <v>0</v>
      </c>
      <c r="AC115" s="53">
        <f t="shared" si="127"/>
        <v>0</v>
      </c>
      <c r="AD115" s="53">
        <f t="shared" si="128"/>
        <v>0</v>
      </c>
      <c r="AE115" s="53">
        <f t="shared" si="129"/>
        <v>0</v>
      </c>
      <c r="AF115" s="53">
        <f t="shared" si="130"/>
        <v>0</v>
      </c>
      <c r="AG115" s="53">
        <f t="shared" si="131"/>
        <v>0</v>
      </c>
      <c r="AH115" s="53">
        <f t="shared" si="132"/>
        <v>0</v>
      </c>
      <c r="AI115" s="36" t="s">
        <v>10</v>
      </c>
      <c r="AJ115" s="53">
        <f t="shared" si="133"/>
        <v>0</v>
      </c>
      <c r="AK115" s="53">
        <f t="shared" si="134"/>
        <v>0</v>
      </c>
      <c r="AL115" s="53">
        <f t="shared" si="135"/>
        <v>0</v>
      </c>
      <c r="AN115" s="53">
        <v>21</v>
      </c>
      <c r="AO115" s="53">
        <f>G115*0</f>
        <v>0</v>
      </c>
      <c r="AP115" s="53">
        <f>G115*(1-0)</f>
        <v>0</v>
      </c>
      <c r="AQ115" s="54" t="s">
        <v>134</v>
      </c>
      <c r="AV115" s="53">
        <f t="shared" si="136"/>
        <v>0</v>
      </c>
      <c r="AW115" s="53">
        <f t="shared" si="137"/>
        <v>0</v>
      </c>
      <c r="AX115" s="53">
        <f t="shared" si="138"/>
        <v>0</v>
      </c>
      <c r="AY115" s="54" t="s">
        <v>324</v>
      </c>
      <c r="AZ115" s="54" t="s">
        <v>325</v>
      </c>
      <c r="BA115" s="36" t="s">
        <v>116</v>
      </c>
      <c r="BC115" s="53">
        <f t="shared" si="139"/>
        <v>0</v>
      </c>
      <c r="BD115" s="53">
        <f t="shared" si="140"/>
        <v>0</v>
      </c>
      <c r="BE115" s="53">
        <v>0</v>
      </c>
      <c r="BF115" s="53">
        <f>115</f>
        <v>115</v>
      </c>
      <c r="BH115" s="53">
        <f t="shared" si="141"/>
        <v>0</v>
      </c>
      <c r="BI115" s="53">
        <f t="shared" si="142"/>
        <v>0</v>
      </c>
      <c r="BJ115" s="53">
        <f t="shared" si="143"/>
        <v>0</v>
      </c>
      <c r="BK115" s="54" t="s">
        <v>117</v>
      </c>
      <c r="BL115" s="53">
        <v>721</v>
      </c>
      <c r="BW115" s="53">
        <v>21</v>
      </c>
      <c r="BX115" s="3" t="s">
        <v>420</v>
      </c>
    </row>
    <row r="116" spans="1:76" ht="23" x14ac:dyDescent="0.35">
      <c r="A116" s="1" t="s">
        <v>421</v>
      </c>
      <c r="B116" s="2" t="s">
        <v>422</v>
      </c>
      <c r="C116" s="91" t="s">
        <v>423</v>
      </c>
      <c r="D116" s="88"/>
      <c r="E116" s="2" t="s">
        <v>424</v>
      </c>
      <c r="F116" s="53">
        <v>0</v>
      </c>
      <c r="G116" s="77">
        <v>0</v>
      </c>
      <c r="H116" s="53">
        <f t="shared" si="124"/>
        <v>0</v>
      </c>
      <c r="I116" s="79" t="s">
        <v>1688</v>
      </c>
      <c r="J116" s="49"/>
      <c r="Z116" s="53">
        <f t="shared" si="125"/>
        <v>0</v>
      </c>
      <c r="AB116" s="53">
        <f t="shared" si="126"/>
        <v>0</v>
      </c>
      <c r="AC116" s="53">
        <f t="shared" si="127"/>
        <v>0</v>
      </c>
      <c r="AD116" s="53">
        <f t="shared" si="128"/>
        <v>0</v>
      </c>
      <c r="AE116" s="53">
        <f t="shared" si="129"/>
        <v>0</v>
      </c>
      <c r="AF116" s="53">
        <f t="shared" si="130"/>
        <v>0</v>
      </c>
      <c r="AG116" s="53">
        <f t="shared" si="131"/>
        <v>0</v>
      </c>
      <c r="AH116" s="53">
        <f t="shared" si="132"/>
        <v>0</v>
      </c>
      <c r="AI116" s="36" t="s">
        <v>10</v>
      </c>
      <c r="AJ116" s="53">
        <f t="shared" si="133"/>
        <v>0</v>
      </c>
      <c r="AK116" s="53">
        <f t="shared" si="134"/>
        <v>0</v>
      </c>
      <c r="AL116" s="53">
        <f t="shared" si="135"/>
        <v>0</v>
      </c>
      <c r="AN116" s="53">
        <v>21</v>
      </c>
      <c r="AO116" s="53">
        <f>G116*0</f>
        <v>0</v>
      </c>
      <c r="AP116" s="53">
        <f>G116*(1-0)</f>
        <v>0</v>
      </c>
      <c r="AQ116" s="54" t="s">
        <v>134</v>
      </c>
      <c r="AV116" s="53">
        <f t="shared" si="136"/>
        <v>0</v>
      </c>
      <c r="AW116" s="53">
        <f t="shared" si="137"/>
        <v>0</v>
      </c>
      <c r="AX116" s="53">
        <f t="shared" si="138"/>
        <v>0</v>
      </c>
      <c r="AY116" s="54" t="s">
        <v>324</v>
      </c>
      <c r="AZ116" s="54" t="s">
        <v>325</v>
      </c>
      <c r="BA116" s="36" t="s">
        <v>116</v>
      </c>
      <c r="BC116" s="53">
        <f t="shared" si="139"/>
        <v>0</v>
      </c>
      <c r="BD116" s="53">
        <f t="shared" si="140"/>
        <v>0</v>
      </c>
      <c r="BE116" s="53">
        <v>0</v>
      </c>
      <c r="BF116" s="53">
        <f>116</f>
        <v>116</v>
      </c>
      <c r="BH116" s="53">
        <f t="shared" si="141"/>
        <v>0</v>
      </c>
      <c r="BI116" s="53">
        <f t="shared" si="142"/>
        <v>0</v>
      </c>
      <c r="BJ116" s="53">
        <f t="shared" si="143"/>
        <v>0</v>
      </c>
      <c r="BK116" s="54" t="s">
        <v>117</v>
      </c>
      <c r="BL116" s="53">
        <v>721</v>
      </c>
      <c r="BW116" s="53">
        <v>21</v>
      </c>
      <c r="BX116" s="3" t="s">
        <v>423</v>
      </c>
    </row>
    <row r="117" spans="1:76" ht="14.5" x14ac:dyDescent="0.35">
      <c r="A117" s="50" t="s">
        <v>10</v>
      </c>
      <c r="B117" s="51" t="s">
        <v>425</v>
      </c>
      <c r="C117" s="172" t="s">
        <v>426</v>
      </c>
      <c r="D117" s="173"/>
      <c r="E117" s="52" t="s">
        <v>75</v>
      </c>
      <c r="F117" s="52" t="s">
        <v>75</v>
      </c>
      <c r="G117" s="52" t="s">
        <v>75</v>
      </c>
      <c r="H117" s="28">
        <f>SUM(H118:H141)</f>
        <v>0</v>
      </c>
      <c r="I117" s="36" t="s">
        <v>10</v>
      </c>
      <c r="J117" s="49"/>
      <c r="AI117" s="36" t="s">
        <v>10</v>
      </c>
      <c r="AS117" s="28">
        <f>SUM(AJ118:AJ141)</f>
        <v>0</v>
      </c>
      <c r="AT117" s="28">
        <f>SUM(AK118:AK141)</f>
        <v>0</v>
      </c>
      <c r="AU117" s="28">
        <f>SUM(AL118:AL141)</f>
        <v>0</v>
      </c>
    </row>
    <row r="118" spans="1:76" ht="23" x14ac:dyDescent="0.35">
      <c r="A118" s="1" t="s">
        <v>427</v>
      </c>
      <c r="B118" s="2" t="s">
        <v>428</v>
      </c>
      <c r="C118" s="91" t="s">
        <v>429</v>
      </c>
      <c r="D118" s="88"/>
      <c r="E118" s="2" t="s">
        <v>137</v>
      </c>
      <c r="F118" s="53">
        <v>375</v>
      </c>
      <c r="G118" s="77">
        <v>0</v>
      </c>
      <c r="H118" s="53">
        <f t="shared" ref="H118:H141" si="144">ROUND(F118*G118,2)</f>
        <v>0</v>
      </c>
      <c r="I118" s="79" t="s">
        <v>1688</v>
      </c>
      <c r="J118" s="49"/>
      <c r="Z118" s="53">
        <f t="shared" ref="Z118:Z141" si="145">ROUND(IF(AQ118="5",BJ118,0),2)</f>
        <v>0</v>
      </c>
      <c r="AB118" s="53">
        <f t="shared" ref="AB118:AB141" si="146">ROUND(IF(AQ118="1",BH118,0),2)</f>
        <v>0</v>
      </c>
      <c r="AC118" s="53">
        <f t="shared" ref="AC118:AC141" si="147">ROUND(IF(AQ118="1",BI118,0),2)</f>
        <v>0</v>
      </c>
      <c r="AD118" s="53">
        <f t="shared" ref="AD118:AD141" si="148">ROUND(IF(AQ118="7",BH118,0),2)</f>
        <v>0</v>
      </c>
      <c r="AE118" s="53">
        <f t="shared" ref="AE118:AE141" si="149">ROUND(IF(AQ118="7",BI118,0),2)</f>
        <v>0</v>
      </c>
      <c r="AF118" s="53">
        <f t="shared" ref="AF118:AF141" si="150">ROUND(IF(AQ118="2",BH118,0),2)</f>
        <v>0</v>
      </c>
      <c r="AG118" s="53">
        <f t="shared" ref="AG118:AG141" si="151">ROUND(IF(AQ118="2",BI118,0),2)</f>
        <v>0</v>
      </c>
      <c r="AH118" s="53">
        <f t="shared" ref="AH118:AH141" si="152">ROUND(IF(AQ118="0",BJ118,0),2)</f>
        <v>0</v>
      </c>
      <c r="AI118" s="36" t="s">
        <v>10</v>
      </c>
      <c r="AJ118" s="53">
        <f t="shared" ref="AJ118:AJ141" si="153">IF(AN118=0,H118,0)</f>
        <v>0</v>
      </c>
      <c r="AK118" s="53">
        <f t="shared" ref="AK118:AK141" si="154">IF(AN118=12,H118,0)</f>
        <v>0</v>
      </c>
      <c r="AL118" s="53">
        <f t="shared" ref="AL118:AL141" si="155">IF(AN118=21,H118,0)</f>
        <v>0</v>
      </c>
      <c r="AN118" s="53">
        <v>21</v>
      </c>
      <c r="AO118" s="53">
        <f>G118*0.071505011</f>
        <v>0</v>
      </c>
      <c r="AP118" s="53">
        <f>G118*(1-0.071505011)</f>
        <v>0</v>
      </c>
      <c r="AQ118" s="54" t="s">
        <v>134</v>
      </c>
      <c r="AV118" s="53">
        <f t="shared" ref="AV118:AV141" si="156">ROUND(AW118+AX118,2)</f>
        <v>0</v>
      </c>
      <c r="AW118" s="53">
        <f t="shared" ref="AW118:AW141" si="157">ROUND(F118*AO118,2)</f>
        <v>0</v>
      </c>
      <c r="AX118" s="53">
        <f t="shared" ref="AX118:AX141" si="158">ROUND(F118*AP118,2)</f>
        <v>0</v>
      </c>
      <c r="AY118" s="54" t="s">
        <v>430</v>
      </c>
      <c r="AZ118" s="54" t="s">
        <v>325</v>
      </c>
      <c r="BA118" s="36" t="s">
        <v>116</v>
      </c>
      <c r="BC118" s="53">
        <f t="shared" ref="BC118:BC141" si="159">AW118+AX118</f>
        <v>0</v>
      </c>
      <c r="BD118" s="53">
        <f t="shared" ref="BD118:BD141" si="160">G118/(100-BE118)*100</f>
        <v>0</v>
      </c>
      <c r="BE118" s="53">
        <v>0</v>
      </c>
      <c r="BF118" s="53">
        <f>118</f>
        <v>118</v>
      </c>
      <c r="BH118" s="53">
        <f t="shared" ref="BH118:BH141" si="161">F118*AO118</f>
        <v>0</v>
      </c>
      <c r="BI118" s="53">
        <f t="shared" ref="BI118:BI141" si="162">F118*AP118</f>
        <v>0</v>
      </c>
      <c r="BJ118" s="53">
        <f t="shared" ref="BJ118:BJ141" si="163">F118*G118</f>
        <v>0</v>
      </c>
      <c r="BK118" s="54" t="s">
        <v>117</v>
      </c>
      <c r="BL118" s="53">
        <v>722</v>
      </c>
      <c r="BW118" s="53">
        <v>21</v>
      </c>
      <c r="BX118" s="3" t="s">
        <v>429</v>
      </c>
    </row>
    <row r="119" spans="1:76" ht="23" x14ac:dyDescent="0.35">
      <c r="A119" s="1" t="s">
        <v>431</v>
      </c>
      <c r="B119" s="2" t="s">
        <v>432</v>
      </c>
      <c r="C119" s="91" t="s">
        <v>433</v>
      </c>
      <c r="D119" s="88"/>
      <c r="E119" s="2" t="s">
        <v>434</v>
      </c>
      <c r="F119" s="53">
        <v>10</v>
      </c>
      <c r="G119" s="77">
        <v>0</v>
      </c>
      <c r="H119" s="53">
        <f t="shared" si="144"/>
        <v>0</v>
      </c>
      <c r="I119" s="79" t="s">
        <v>1688</v>
      </c>
      <c r="J119" s="49"/>
      <c r="Z119" s="53">
        <f t="shared" si="145"/>
        <v>0</v>
      </c>
      <c r="AB119" s="53">
        <f t="shared" si="146"/>
        <v>0</v>
      </c>
      <c r="AC119" s="53">
        <f t="shared" si="147"/>
        <v>0</v>
      </c>
      <c r="AD119" s="53">
        <f t="shared" si="148"/>
        <v>0</v>
      </c>
      <c r="AE119" s="53">
        <f t="shared" si="149"/>
        <v>0</v>
      </c>
      <c r="AF119" s="53">
        <f t="shared" si="150"/>
        <v>0</v>
      </c>
      <c r="AG119" s="53">
        <f t="shared" si="151"/>
        <v>0</v>
      </c>
      <c r="AH119" s="53">
        <f t="shared" si="152"/>
        <v>0</v>
      </c>
      <c r="AI119" s="36" t="s">
        <v>10</v>
      </c>
      <c r="AJ119" s="53">
        <f t="shared" si="153"/>
        <v>0</v>
      </c>
      <c r="AK119" s="53">
        <f t="shared" si="154"/>
        <v>0</v>
      </c>
      <c r="AL119" s="53">
        <f t="shared" si="155"/>
        <v>0</v>
      </c>
      <c r="AN119" s="53">
        <v>21</v>
      </c>
      <c r="AO119" s="53">
        <f>G119*0.204883364</f>
        <v>0</v>
      </c>
      <c r="AP119" s="53">
        <f>G119*(1-0.204883364)</f>
        <v>0</v>
      </c>
      <c r="AQ119" s="54" t="s">
        <v>134</v>
      </c>
      <c r="AV119" s="53">
        <f t="shared" si="156"/>
        <v>0</v>
      </c>
      <c r="AW119" s="53">
        <f t="shared" si="157"/>
        <v>0</v>
      </c>
      <c r="AX119" s="53">
        <f t="shared" si="158"/>
        <v>0</v>
      </c>
      <c r="AY119" s="54" t="s">
        <v>430</v>
      </c>
      <c r="AZ119" s="54" t="s">
        <v>325</v>
      </c>
      <c r="BA119" s="36" t="s">
        <v>116</v>
      </c>
      <c r="BC119" s="53">
        <f t="shared" si="159"/>
        <v>0</v>
      </c>
      <c r="BD119" s="53">
        <f t="shared" si="160"/>
        <v>0</v>
      </c>
      <c r="BE119" s="53">
        <v>0</v>
      </c>
      <c r="BF119" s="53">
        <f>119</f>
        <v>119</v>
      </c>
      <c r="BH119" s="53">
        <f t="shared" si="161"/>
        <v>0</v>
      </c>
      <c r="BI119" s="53">
        <f t="shared" si="162"/>
        <v>0</v>
      </c>
      <c r="BJ119" s="53">
        <f t="shared" si="163"/>
        <v>0</v>
      </c>
      <c r="BK119" s="54" t="s">
        <v>117</v>
      </c>
      <c r="BL119" s="53">
        <v>722</v>
      </c>
      <c r="BW119" s="53">
        <v>21</v>
      </c>
      <c r="BX119" s="3" t="s">
        <v>433</v>
      </c>
    </row>
    <row r="120" spans="1:76" ht="23" x14ac:dyDescent="0.35">
      <c r="A120" s="1" t="s">
        <v>435</v>
      </c>
      <c r="B120" s="2" t="s">
        <v>436</v>
      </c>
      <c r="C120" s="91" t="s">
        <v>437</v>
      </c>
      <c r="D120" s="88"/>
      <c r="E120" s="2" t="s">
        <v>137</v>
      </c>
      <c r="F120" s="53">
        <v>184</v>
      </c>
      <c r="G120" s="77">
        <v>0</v>
      </c>
      <c r="H120" s="53">
        <f t="shared" si="144"/>
        <v>0</v>
      </c>
      <c r="I120" s="79" t="s">
        <v>1688</v>
      </c>
      <c r="J120" s="49"/>
      <c r="Z120" s="53">
        <f t="shared" si="145"/>
        <v>0</v>
      </c>
      <c r="AB120" s="53">
        <f t="shared" si="146"/>
        <v>0</v>
      </c>
      <c r="AC120" s="53">
        <f t="shared" si="147"/>
        <v>0</v>
      </c>
      <c r="AD120" s="53">
        <f t="shared" si="148"/>
        <v>0</v>
      </c>
      <c r="AE120" s="53">
        <f t="shared" si="149"/>
        <v>0</v>
      </c>
      <c r="AF120" s="53">
        <f t="shared" si="150"/>
        <v>0</v>
      </c>
      <c r="AG120" s="53">
        <f t="shared" si="151"/>
        <v>0</v>
      </c>
      <c r="AH120" s="53">
        <f t="shared" si="152"/>
        <v>0</v>
      </c>
      <c r="AI120" s="36" t="s">
        <v>10</v>
      </c>
      <c r="AJ120" s="53">
        <f t="shared" si="153"/>
        <v>0</v>
      </c>
      <c r="AK120" s="53">
        <f t="shared" si="154"/>
        <v>0</v>
      </c>
      <c r="AL120" s="53">
        <f t="shared" si="155"/>
        <v>0</v>
      </c>
      <c r="AN120" s="53">
        <v>21</v>
      </c>
      <c r="AO120" s="53">
        <f>G120*0.210348798</f>
        <v>0</v>
      </c>
      <c r="AP120" s="53">
        <f>G120*(1-0.210348798)</f>
        <v>0</v>
      </c>
      <c r="AQ120" s="54" t="s">
        <v>134</v>
      </c>
      <c r="AV120" s="53">
        <f t="shared" si="156"/>
        <v>0</v>
      </c>
      <c r="AW120" s="53">
        <f t="shared" si="157"/>
        <v>0</v>
      </c>
      <c r="AX120" s="53">
        <f t="shared" si="158"/>
        <v>0</v>
      </c>
      <c r="AY120" s="54" t="s">
        <v>430</v>
      </c>
      <c r="AZ120" s="54" t="s">
        <v>325</v>
      </c>
      <c r="BA120" s="36" t="s">
        <v>116</v>
      </c>
      <c r="BC120" s="53">
        <f t="shared" si="159"/>
        <v>0</v>
      </c>
      <c r="BD120" s="53">
        <f t="shared" si="160"/>
        <v>0</v>
      </c>
      <c r="BE120" s="53">
        <v>0</v>
      </c>
      <c r="BF120" s="53">
        <f>120</f>
        <v>120</v>
      </c>
      <c r="BH120" s="53">
        <f t="shared" si="161"/>
        <v>0</v>
      </c>
      <c r="BI120" s="53">
        <f t="shared" si="162"/>
        <v>0</v>
      </c>
      <c r="BJ120" s="53">
        <f t="shared" si="163"/>
        <v>0</v>
      </c>
      <c r="BK120" s="54" t="s">
        <v>117</v>
      </c>
      <c r="BL120" s="53">
        <v>722</v>
      </c>
      <c r="BW120" s="53">
        <v>21</v>
      </c>
      <c r="BX120" s="3" t="s">
        <v>437</v>
      </c>
    </row>
    <row r="121" spans="1:76" ht="23" x14ac:dyDescent="0.35">
      <c r="A121" s="1" t="s">
        <v>438</v>
      </c>
      <c r="B121" s="2" t="s">
        <v>439</v>
      </c>
      <c r="C121" s="91" t="s">
        <v>440</v>
      </c>
      <c r="D121" s="88"/>
      <c r="E121" s="2" t="s">
        <v>137</v>
      </c>
      <c r="F121" s="53">
        <v>111</v>
      </c>
      <c r="G121" s="77">
        <v>0</v>
      </c>
      <c r="H121" s="53">
        <f t="shared" si="144"/>
        <v>0</v>
      </c>
      <c r="I121" s="79" t="s">
        <v>1688</v>
      </c>
      <c r="J121" s="49"/>
      <c r="Z121" s="53">
        <f t="shared" si="145"/>
        <v>0</v>
      </c>
      <c r="AB121" s="53">
        <f t="shared" si="146"/>
        <v>0</v>
      </c>
      <c r="AC121" s="53">
        <f t="shared" si="147"/>
        <v>0</v>
      </c>
      <c r="AD121" s="53">
        <f t="shared" si="148"/>
        <v>0</v>
      </c>
      <c r="AE121" s="53">
        <f t="shared" si="149"/>
        <v>0</v>
      </c>
      <c r="AF121" s="53">
        <f t="shared" si="150"/>
        <v>0</v>
      </c>
      <c r="AG121" s="53">
        <f t="shared" si="151"/>
        <v>0</v>
      </c>
      <c r="AH121" s="53">
        <f t="shared" si="152"/>
        <v>0</v>
      </c>
      <c r="AI121" s="36" t="s">
        <v>10</v>
      </c>
      <c r="AJ121" s="53">
        <f t="shared" si="153"/>
        <v>0</v>
      </c>
      <c r="AK121" s="53">
        <f t="shared" si="154"/>
        <v>0</v>
      </c>
      <c r="AL121" s="53">
        <f t="shared" si="155"/>
        <v>0</v>
      </c>
      <c r="AN121" s="53">
        <v>21</v>
      </c>
      <c r="AO121" s="53">
        <f>G121*0.237680854</f>
        <v>0</v>
      </c>
      <c r="AP121" s="53">
        <f>G121*(1-0.237680854)</f>
        <v>0</v>
      </c>
      <c r="AQ121" s="54" t="s">
        <v>134</v>
      </c>
      <c r="AV121" s="53">
        <f t="shared" si="156"/>
        <v>0</v>
      </c>
      <c r="AW121" s="53">
        <f t="shared" si="157"/>
        <v>0</v>
      </c>
      <c r="AX121" s="53">
        <f t="shared" si="158"/>
        <v>0</v>
      </c>
      <c r="AY121" s="54" t="s">
        <v>430</v>
      </c>
      <c r="AZ121" s="54" t="s">
        <v>325</v>
      </c>
      <c r="BA121" s="36" t="s">
        <v>116</v>
      </c>
      <c r="BC121" s="53">
        <f t="shared" si="159"/>
        <v>0</v>
      </c>
      <c r="BD121" s="53">
        <f t="shared" si="160"/>
        <v>0</v>
      </c>
      <c r="BE121" s="53">
        <v>0</v>
      </c>
      <c r="BF121" s="53">
        <f>121</f>
        <v>121</v>
      </c>
      <c r="BH121" s="53">
        <f t="shared" si="161"/>
        <v>0</v>
      </c>
      <c r="BI121" s="53">
        <f t="shared" si="162"/>
        <v>0</v>
      </c>
      <c r="BJ121" s="53">
        <f t="shared" si="163"/>
        <v>0</v>
      </c>
      <c r="BK121" s="54" t="s">
        <v>117</v>
      </c>
      <c r="BL121" s="53">
        <v>722</v>
      </c>
      <c r="BW121" s="53">
        <v>21</v>
      </c>
      <c r="BX121" s="3" t="s">
        <v>440</v>
      </c>
    </row>
    <row r="122" spans="1:76" ht="23" x14ac:dyDescent="0.35">
      <c r="A122" s="1" t="s">
        <v>441</v>
      </c>
      <c r="B122" s="2" t="s">
        <v>442</v>
      </c>
      <c r="C122" s="91" t="s">
        <v>443</v>
      </c>
      <c r="D122" s="88"/>
      <c r="E122" s="2" t="s">
        <v>137</v>
      </c>
      <c r="F122" s="53">
        <v>31</v>
      </c>
      <c r="G122" s="77">
        <v>0</v>
      </c>
      <c r="H122" s="53">
        <f t="shared" si="144"/>
        <v>0</v>
      </c>
      <c r="I122" s="79" t="s">
        <v>1688</v>
      </c>
      <c r="J122" s="49"/>
      <c r="Z122" s="53">
        <f t="shared" si="145"/>
        <v>0</v>
      </c>
      <c r="AB122" s="53">
        <f t="shared" si="146"/>
        <v>0</v>
      </c>
      <c r="AC122" s="53">
        <f t="shared" si="147"/>
        <v>0</v>
      </c>
      <c r="AD122" s="53">
        <f t="shared" si="148"/>
        <v>0</v>
      </c>
      <c r="AE122" s="53">
        <f t="shared" si="149"/>
        <v>0</v>
      </c>
      <c r="AF122" s="53">
        <f t="shared" si="150"/>
        <v>0</v>
      </c>
      <c r="AG122" s="53">
        <f t="shared" si="151"/>
        <v>0</v>
      </c>
      <c r="AH122" s="53">
        <f t="shared" si="152"/>
        <v>0</v>
      </c>
      <c r="AI122" s="36" t="s">
        <v>10</v>
      </c>
      <c r="AJ122" s="53">
        <f t="shared" si="153"/>
        <v>0</v>
      </c>
      <c r="AK122" s="53">
        <f t="shared" si="154"/>
        <v>0</v>
      </c>
      <c r="AL122" s="53">
        <f t="shared" si="155"/>
        <v>0</v>
      </c>
      <c r="AN122" s="53">
        <v>21</v>
      </c>
      <c r="AO122" s="53">
        <f>G122*0.312157679</f>
        <v>0</v>
      </c>
      <c r="AP122" s="53">
        <f>G122*(1-0.312157679)</f>
        <v>0</v>
      </c>
      <c r="AQ122" s="54" t="s">
        <v>134</v>
      </c>
      <c r="AV122" s="53">
        <f t="shared" si="156"/>
        <v>0</v>
      </c>
      <c r="AW122" s="53">
        <f t="shared" si="157"/>
        <v>0</v>
      </c>
      <c r="AX122" s="53">
        <f t="shared" si="158"/>
        <v>0</v>
      </c>
      <c r="AY122" s="54" t="s">
        <v>430</v>
      </c>
      <c r="AZ122" s="54" t="s">
        <v>325</v>
      </c>
      <c r="BA122" s="36" t="s">
        <v>116</v>
      </c>
      <c r="BC122" s="53">
        <f t="shared" si="159"/>
        <v>0</v>
      </c>
      <c r="BD122" s="53">
        <f t="shared" si="160"/>
        <v>0</v>
      </c>
      <c r="BE122" s="53">
        <v>0</v>
      </c>
      <c r="BF122" s="53">
        <f>122</f>
        <v>122</v>
      </c>
      <c r="BH122" s="53">
        <f t="shared" si="161"/>
        <v>0</v>
      </c>
      <c r="BI122" s="53">
        <f t="shared" si="162"/>
        <v>0</v>
      </c>
      <c r="BJ122" s="53">
        <f t="shared" si="163"/>
        <v>0</v>
      </c>
      <c r="BK122" s="54" t="s">
        <v>117</v>
      </c>
      <c r="BL122" s="53">
        <v>722</v>
      </c>
      <c r="BW122" s="53">
        <v>21</v>
      </c>
      <c r="BX122" s="3" t="s">
        <v>443</v>
      </c>
    </row>
    <row r="123" spans="1:76" ht="23" x14ac:dyDescent="0.35">
      <c r="A123" s="1" t="s">
        <v>444</v>
      </c>
      <c r="B123" s="2" t="s">
        <v>445</v>
      </c>
      <c r="C123" s="91" t="s">
        <v>446</v>
      </c>
      <c r="D123" s="88"/>
      <c r="E123" s="2" t="s">
        <v>137</v>
      </c>
      <c r="F123" s="53">
        <v>12</v>
      </c>
      <c r="G123" s="77">
        <v>0</v>
      </c>
      <c r="H123" s="53">
        <f t="shared" si="144"/>
        <v>0</v>
      </c>
      <c r="I123" s="79" t="s">
        <v>1688</v>
      </c>
      <c r="J123" s="49"/>
      <c r="Z123" s="53">
        <f t="shared" si="145"/>
        <v>0</v>
      </c>
      <c r="AB123" s="53">
        <f t="shared" si="146"/>
        <v>0</v>
      </c>
      <c r="AC123" s="53">
        <f t="shared" si="147"/>
        <v>0</v>
      </c>
      <c r="AD123" s="53">
        <f t="shared" si="148"/>
        <v>0</v>
      </c>
      <c r="AE123" s="53">
        <f t="shared" si="149"/>
        <v>0</v>
      </c>
      <c r="AF123" s="53">
        <f t="shared" si="150"/>
        <v>0</v>
      </c>
      <c r="AG123" s="53">
        <f t="shared" si="151"/>
        <v>0</v>
      </c>
      <c r="AH123" s="53">
        <f t="shared" si="152"/>
        <v>0</v>
      </c>
      <c r="AI123" s="36" t="s">
        <v>10</v>
      </c>
      <c r="AJ123" s="53">
        <f t="shared" si="153"/>
        <v>0</v>
      </c>
      <c r="AK123" s="53">
        <f t="shared" si="154"/>
        <v>0</v>
      </c>
      <c r="AL123" s="53">
        <f t="shared" si="155"/>
        <v>0</v>
      </c>
      <c r="AN123" s="53">
        <v>21</v>
      </c>
      <c r="AO123" s="53">
        <f>G123*0.438797533</f>
        <v>0</v>
      </c>
      <c r="AP123" s="53">
        <f>G123*(1-0.438797533)</f>
        <v>0</v>
      </c>
      <c r="AQ123" s="54" t="s">
        <v>134</v>
      </c>
      <c r="AV123" s="53">
        <f t="shared" si="156"/>
        <v>0</v>
      </c>
      <c r="AW123" s="53">
        <f t="shared" si="157"/>
        <v>0</v>
      </c>
      <c r="AX123" s="53">
        <f t="shared" si="158"/>
        <v>0</v>
      </c>
      <c r="AY123" s="54" t="s">
        <v>430</v>
      </c>
      <c r="AZ123" s="54" t="s">
        <v>325</v>
      </c>
      <c r="BA123" s="36" t="s">
        <v>116</v>
      </c>
      <c r="BC123" s="53">
        <f t="shared" si="159"/>
        <v>0</v>
      </c>
      <c r="BD123" s="53">
        <f t="shared" si="160"/>
        <v>0</v>
      </c>
      <c r="BE123" s="53">
        <v>0</v>
      </c>
      <c r="BF123" s="53">
        <f>123</f>
        <v>123</v>
      </c>
      <c r="BH123" s="53">
        <f t="shared" si="161"/>
        <v>0</v>
      </c>
      <c r="BI123" s="53">
        <f t="shared" si="162"/>
        <v>0</v>
      </c>
      <c r="BJ123" s="53">
        <f t="shared" si="163"/>
        <v>0</v>
      </c>
      <c r="BK123" s="54" t="s">
        <v>117</v>
      </c>
      <c r="BL123" s="53">
        <v>722</v>
      </c>
      <c r="BW123" s="53">
        <v>21</v>
      </c>
      <c r="BX123" s="3" t="s">
        <v>446</v>
      </c>
    </row>
    <row r="124" spans="1:76" ht="23" x14ac:dyDescent="0.35">
      <c r="A124" s="1" t="s">
        <v>447</v>
      </c>
      <c r="B124" s="2" t="s">
        <v>448</v>
      </c>
      <c r="C124" s="91" t="s">
        <v>449</v>
      </c>
      <c r="D124" s="88"/>
      <c r="E124" s="2" t="s">
        <v>137</v>
      </c>
      <c r="F124" s="53">
        <v>37</v>
      </c>
      <c r="G124" s="77">
        <v>0</v>
      </c>
      <c r="H124" s="53">
        <f t="shared" si="144"/>
        <v>0</v>
      </c>
      <c r="I124" s="79" t="s">
        <v>1688</v>
      </c>
      <c r="J124" s="49"/>
      <c r="Z124" s="53">
        <f t="shared" si="145"/>
        <v>0</v>
      </c>
      <c r="AB124" s="53">
        <f t="shared" si="146"/>
        <v>0</v>
      </c>
      <c r="AC124" s="53">
        <f t="shared" si="147"/>
        <v>0</v>
      </c>
      <c r="AD124" s="53">
        <f t="shared" si="148"/>
        <v>0</v>
      </c>
      <c r="AE124" s="53">
        <f t="shared" si="149"/>
        <v>0</v>
      </c>
      <c r="AF124" s="53">
        <f t="shared" si="150"/>
        <v>0</v>
      </c>
      <c r="AG124" s="53">
        <f t="shared" si="151"/>
        <v>0</v>
      </c>
      <c r="AH124" s="53">
        <f t="shared" si="152"/>
        <v>0</v>
      </c>
      <c r="AI124" s="36" t="s">
        <v>10</v>
      </c>
      <c r="AJ124" s="53">
        <f t="shared" si="153"/>
        <v>0</v>
      </c>
      <c r="AK124" s="53">
        <f t="shared" si="154"/>
        <v>0</v>
      </c>
      <c r="AL124" s="53">
        <f t="shared" si="155"/>
        <v>0</v>
      </c>
      <c r="AN124" s="53">
        <v>21</v>
      </c>
      <c r="AO124" s="53">
        <f>G124*0.413819316</f>
        <v>0</v>
      </c>
      <c r="AP124" s="53">
        <f>G124*(1-0.413819316)</f>
        <v>0</v>
      </c>
      <c r="AQ124" s="54" t="s">
        <v>134</v>
      </c>
      <c r="AV124" s="53">
        <f t="shared" si="156"/>
        <v>0</v>
      </c>
      <c r="AW124" s="53">
        <f t="shared" si="157"/>
        <v>0</v>
      </c>
      <c r="AX124" s="53">
        <f t="shared" si="158"/>
        <v>0</v>
      </c>
      <c r="AY124" s="54" t="s">
        <v>430</v>
      </c>
      <c r="AZ124" s="54" t="s">
        <v>325</v>
      </c>
      <c r="BA124" s="36" t="s">
        <v>116</v>
      </c>
      <c r="BC124" s="53">
        <f t="shared" si="159"/>
        <v>0</v>
      </c>
      <c r="BD124" s="53">
        <f t="shared" si="160"/>
        <v>0</v>
      </c>
      <c r="BE124" s="53">
        <v>0</v>
      </c>
      <c r="BF124" s="53">
        <f>124</f>
        <v>124</v>
      </c>
      <c r="BH124" s="53">
        <f t="shared" si="161"/>
        <v>0</v>
      </c>
      <c r="BI124" s="53">
        <f t="shared" si="162"/>
        <v>0</v>
      </c>
      <c r="BJ124" s="53">
        <f t="shared" si="163"/>
        <v>0</v>
      </c>
      <c r="BK124" s="54" t="s">
        <v>117</v>
      </c>
      <c r="BL124" s="53">
        <v>722</v>
      </c>
      <c r="BW124" s="53">
        <v>21</v>
      </c>
      <c r="BX124" s="3" t="s">
        <v>449</v>
      </c>
    </row>
    <row r="125" spans="1:76" ht="23" x14ac:dyDescent="0.35">
      <c r="A125" s="1" t="s">
        <v>450</v>
      </c>
      <c r="B125" s="2" t="s">
        <v>451</v>
      </c>
      <c r="C125" s="91" t="s">
        <v>452</v>
      </c>
      <c r="D125" s="88"/>
      <c r="E125" s="2" t="s">
        <v>137</v>
      </c>
      <c r="F125" s="53">
        <v>37</v>
      </c>
      <c r="G125" s="77">
        <v>0</v>
      </c>
      <c r="H125" s="53">
        <f t="shared" si="144"/>
        <v>0</v>
      </c>
      <c r="I125" s="79" t="s">
        <v>1688</v>
      </c>
      <c r="J125" s="49"/>
      <c r="Z125" s="53">
        <f t="shared" si="145"/>
        <v>0</v>
      </c>
      <c r="AB125" s="53">
        <f t="shared" si="146"/>
        <v>0</v>
      </c>
      <c r="AC125" s="53">
        <f t="shared" si="147"/>
        <v>0</v>
      </c>
      <c r="AD125" s="53">
        <f t="shared" si="148"/>
        <v>0</v>
      </c>
      <c r="AE125" s="53">
        <f t="shared" si="149"/>
        <v>0</v>
      </c>
      <c r="AF125" s="53">
        <f t="shared" si="150"/>
        <v>0</v>
      </c>
      <c r="AG125" s="53">
        <f t="shared" si="151"/>
        <v>0</v>
      </c>
      <c r="AH125" s="53">
        <f t="shared" si="152"/>
        <v>0</v>
      </c>
      <c r="AI125" s="36" t="s">
        <v>10</v>
      </c>
      <c r="AJ125" s="53">
        <f t="shared" si="153"/>
        <v>0</v>
      </c>
      <c r="AK125" s="53">
        <f t="shared" si="154"/>
        <v>0</v>
      </c>
      <c r="AL125" s="53">
        <f t="shared" si="155"/>
        <v>0</v>
      </c>
      <c r="AN125" s="53">
        <v>21</v>
      </c>
      <c r="AO125" s="53">
        <f>G125*0.575323158</f>
        <v>0</v>
      </c>
      <c r="AP125" s="53">
        <f>G125*(1-0.575323158)</f>
        <v>0</v>
      </c>
      <c r="AQ125" s="54" t="s">
        <v>134</v>
      </c>
      <c r="AV125" s="53">
        <f t="shared" si="156"/>
        <v>0</v>
      </c>
      <c r="AW125" s="53">
        <f t="shared" si="157"/>
        <v>0</v>
      </c>
      <c r="AX125" s="53">
        <f t="shared" si="158"/>
        <v>0</v>
      </c>
      <c r="AY125" s="54" t="s">
        <v>430</v>
      </c>
      <c r="AZ125" s="54" t="s">
        <v>325</v>
      </c>
      <c r="BA125" s="36" t="s">
        <v>116</v>
      </c>
      <c r="BC125" s="53">
        <f t="shared" si="159"/>
        <v>0</v>
      </c>
      <c r="BD125" s="53">
        <f t="shared" si="160"/>
        <v>0</v>
      </c>
      <c r="BE125" s="53">
        <v>0</v>
      </c>
      <c r="BF125" s="53">
        <f>125</f>
        <v>125</v>
      </c>
      <c r="BH125" s="53">
        <f t="shared" si="161"/>
        <v>0</v>
      </c>
      <c r="BI125" s="53">
        <f t="shared" si="162"/>
        <v>0</v>
      </c>
      <c r="BJ125" s="53">
        <f t="shared" si="163"/>
        <v>0</v>
      </c>
      <c r="BK125" s="54" t="s">
        <v>117</v>
      </c>
      <c r="BL125" s="53">
        <v>722</v>
      </c>
      <c r="BW125" s="53">
        <v>21</v>
      </c>
      <c r="BX125" s="3" t="s">
        <v>452</v>
      </c>
    </row>
    <row r="126" spans="1:76" ht="23" x14ac:dyDescent="0.35">
      <c r="A126" s="1" t="s">
        <v>453</v>
      </c>
      <c r="B126" s="2" t="s">
        <v>454</v>
      </c>
      <c r="C126" s="91" t="s">
        <v>455</v>
      </c>
      <c r="D126" s="88"/>
      <c r="E126" s="2" t="s">
        <v>137</v>
      </c>
      <c r="F126" s="53">
        <v>12</v>
      </c>
      <c r="G126" s="77">
        <v>0</v>
      </c>
      <c r="H126" s="53">
        <f t="shared" si="144"/>
        <v>0</v>
      </c>
      <c r="I126" s="79" t="s">
        <v>1688</v>
      </c>
      <c r="J126" s="49"/>
      <c r="Z126" s="53">
        <f t="shared" si="145"/>
        <v>0</v>
      </c>
      <c r="AB126" s="53">
        <f t="shared" si="146"/>
        <v>0</v>
      </c>
      <c r="AC126" s="53">
        <f t="shared" si="147"/>
        <v>0</v>
      </c>
      <c r="AD126" s="53">
        <f t="shared" si="148"/>
        <v>0</v>
      </c>
      <c r="AE126" s="53">
        <f t="shared" si="149"/>
        <v>0</v>
      </c>
      <c r="AF126" s="53">
        <f t="shared" si="150"/>
        <v>0</v>
      </c>
      <c r="AG126" s="53">
        <f t="shared" si="151"/>
        <v>0</v>
      </c>
      <c r="AH126" s="53">
        <f t="shared" si="152"/>
        <v>0</v>
      </c>
      <c r="AI126" s="36" t="s">
        <v>10</v>
      </c>
      <c r="AJ126" s="53">
        <f t="shared" si="153"/>
        <v>0</v>
      </c>
      <c r="AK126" s="53">
        <f t="shared" si="154"/>
        <v>0</v>
      </c>
      <c r="AL126" s="53">
        <f t="shared" si="155"/>
        <v>0</v>
      </c>
      <c r="AN126" s="53">
        <v>21</v>
      </c>
      <c r="AO126" s="53">
        <f>G126*0.540736783</f>
        <v>0</v>
      </c>
      <c r="AP126" s="53">
        <f>G126*(1-0.540736783)</f>
        <v>0</v>
      </c>
      <c r="AQ126" s="54" t="s">
        <v>134</v>
      </c>
      <c r="AV126" s="53">
        <f t="shared" si="156"/>
        <v>0</v>
      </c>
      <c r="AW126" s="53">
        <f t="shared" si="157"/>
        <v>0</v>
      </c>
      <c r="AX126" s="53">
        <f t="shared" si="158"/>
        <v>0</v>
      </c>
      <c r="AY126" s="54" t="s">
        <v>430</v>
      </c>
      <c r="AZ126" s="54" t="s">
        <v>325</v>
      </c>
      <c r="BA126" s="36" t="s">
        <v>116</v>
      </c>
      <c r="BC126" s="53">
        <f t="shared" si="159"/>
        <v>0</v>
      </c>
      <c r="BD126" s="53">
        <f t="shared" si="160"/>
        <v>0</v>
      </c>
      <c r="BE126" s="53">
        <v>0</v>
      </c>
      <c r="BF126" s="53">
        <f>126</f>
        <v>126</v>
      </c>
      <c r="BH126" s="53">
        <f t="shared" si="161"/>
        <v>0</v>
      </c>
      <c r="BI126" s="53">
        <f t="shared" si="162"/>
        <v>0</v>
      </c>
      <c r="BJ126" s="53">
        <f t="shared" si="163"/>
        <v>0</v>
      </c>
      <c r="BK126" s="54" t="s">
        <v>117</v>
      </c>
      <c r="BL126" s="53">
        <v>722</v>
      </c>
      <c r="BW126" s="53">
        <v>21</v>
      </c>
      <c r="BX126" s="3" t="s">
        <v>455</v>
      </c>
    </row>
    <row r="127" spans="1:76" ht="23" x14ac:dyDescent="0.35">
      <c r="A127" s="1" t="s">
        <v>456</v>
      </c>
      <c r="B127" s="2" t="s">
        <v>457</v>
      </c>
      <c r="C127" s="91" t="s">
        <v>458</v>
      </c>
      <c r="D127" s="88"/>
      <c r="E127" s="2" t="s">
        <v>137</v>
      </c>
      <c r="F127" s="53">
        <v>31</v>
      </c>
      <c r="G127" s="77">
        <v>0</v>
      </c>
      <c r="H127" s="53">
        <f t="shared" si="144"/>
        <v>0</v>
      </c>
      <c r="I127" s="79" t="s">
        <v>1688</v>
      </c>
      <c r="J127" s="49"/>
      <c r="Z127" s="53">
        <f t="shared" si="145"/>
        <v>0</v>
      </c>
      <c r="AB127" s="53">
        <f t="shared" si="146"/>
        <v>0</v>
      </c>
      <c r="AC127" s="53">
        <f t="shared" si="147"/>
        <v>0</v>
      </c>
      <c r="AD127" s="53">
        <f t="shared" si="148"/>
        <v>0</v>
      </c>
      <c r="AE127" s="53">
        <f t="shared" si="149"/>
        <v>0</v>
      </c>
      <c r="AF127" s="53">
        <f t="shared" si="150"/>
        <v>0</v>
      </c>
      <c r="AG127" s="53">
        <f t="shared" si="151"/>
        <v>0</v>
      </c>
      <c r="AH127" s="53">
        <f t="shared" si="152"/>
        <v>0</v>
      </c>
      <c r="AI127" s="36" t="s">
        <v>10</v>
      </c>
      <c r="AJ127" s="53">
        <f t="shared" si="153"/>
        <v>0</v>
      </c>
      <c r="AK127" s="53">
        <f t="shared" si="154"/>
        <v>0</v>
      </c>
      <c r="AL127" s="53">
        <f t="shared" si="155"/>
        <v>0</v>
      </c>
      <c r="AN127" s="53">
        <v>21</v>
      </c>
      <c r="AO127" s="53">
        <f>G127*0.541941911</f>
        <v>0</v>
      </c>
      <c r="AP127" s="53">
        <f>G127*(1-0.541941911)</f>
        <v>0</v>
      </c>
      <c r="AQ127" s="54" t="s">
        <v>134</v>
      </c>
      <c r="AV127" s="53">
        <f t="shared" si="156"/>
        <v>0</v>
      </c>
      <c r="AW127" s="53">
        <f t="shared" si="157"/>
        <v>0</v>
      </c>
      <c r="AX127" s="53">
        <f t="shared" si="158"/>
        <v>0</v>
      </c>
      <c r="AY127" s="54" t="s">
        <v>430</v>
      </c>
      <c r="AZ127" s="54" t="s">
        <v>325</v>
      </c>
      <c r="BA127" s="36" t="s">
        <v>116</v>
      </c>
      <c r="BC127" s="53">
        <f t="shared" si="159"/>
        <v>0</v>
      </c>
      <c r="BD127" s="53">
        <f t="shared" si="160"/>
        <v>0</v>
      </c>
      <c r="BE127" s="53">
        <v>0</v>
      </c>
      <c r="BF127" s="53">
        <f>127</f>
        <v>127</v>
      </c>
      <c r="BH127" s="53">
        <f t="shared" si="161"/>
        <v>0</v>
      </c>
      <c r="BI127" s="53">
        <f t="shared" si="162"/>
        <v>0</v>
      </c>
      <c r="BJ127" s="53">
        <f t="shared" si="163"/>
        <v>0</v>
      </c>
      <c r="BK127" s="54" t="s">
        <v>117</v>
      </c>
      <c r="BL127" s="53">
        <v>722</v>
      </c>
      <c r="BW127" s="53">
        <v>21</v>
      </c>
      <c r="BX127" s="3" t="s">
        <v>458</v>
      </c>
    </row>
    <row r="128" spans="1:76" ht="23" x14ac:dyDescent="0.35">
      <c r="A128" s="1" t="s">
        <v>459</v>
      </c>
      <c r="B128" s="2" t="s">
        <v>460</v>
      </c>
      <c r="C128" s="91" t="s">
        <v>461</v>
      </c>
      <c r="D128" s="88"/>
      <c r="E128" s="2" t="s">
        <v>137</v>
      </c>
      <c r="F128" s="53">
        <v>111</v>
      </c>
      <c r="G128" s="77">
        <v>0</v>
      </c>
      <c r="H128" s="53">
        <f t="shared" si="144"/>
        <v>0</v>
      </c>
      <c r="I128" s="79" t="s">
        <v>1688</v>
      </c>
      <c r="J128" s="49"/>
      <c r="Z128" s="53">
        <f t="shared" si="145"/>
        <v>0</v>
      </c>
      <c r="AB128" s="53">
        <f t="shared" si="146"/>
        <v>0</v>
      </c>
      <c r="AC128" s="53">
        <f t="shared" si="147"/>
        <v>0</v>
      </c>
      <c r="AD128" s="53">
        <f t="shared" si="148"/>
        <v>0</v>
      </c>
      <c r="AE128" s="53">
        <f t="shared" si="149"/>
        <v>0</v>
      </c>
      <c r="AF128" s="53">
        <f t="shared" si="150"/>
        <v>0</v>
      </c>
      <c r="AG128" s="53">
        <f t="shared" si="151"/>
        <v>0</v>
      </c>
      <c r="AH128" s="53">
        <f t="shared" si="152"/>
        <v>0</v>
      </c>
      <c r="AI128" s="36" t="s">
        <v>10</v>
      </c>
      <c r="AJ128" s="53">
        <f t="shared" si="153"/>
        <v>0</v>
      </c>
      <c r="AK128" s="53">
        <f t="shared" si="154"/>
        <v>0</v>
      </c>
      <c r="AL128" s="53">
        <f t="shared" si="155"/>
        <v>0</v>
      </c>
      <c r="AN128" s="53">
        <v>21</v>
      </c>
      <c r="AO128" s="53">
        <f>G128*0.537893562</f>
        <v>0</v>
      </c>
      <c r="AP128" s="53">
        <f>G128*(1-0.537893562)</f>
        <v>0</v>
      </c>
      <c r="AQ128" s="54" t="s">
        <v>134</v>
      </c>
      <c r="AV128" s="53">
        <f t="shared" si="156"/>
        <v>0</v>
      </c>
      <c r="AW128" s="53">
        <f t="shared" si="157"/>
        <v>0</v>
      </c>
      <c r="AX128" s="53">
        <f t="shared" si="158"/>
        <v>0</v>
      </c>
      <c r="AY128" s="54" t="s">
        <v>430</v>
      </c>
      <c r="AZ128" s="54" t="s">
        <v>325</v>
      </c>
      <c r="BA128" s="36" t="s">
        <v>116</v>
      </c>
      <c r="BC128" s="53">
        <f t="shared" si="159"/>
        <v>0</v>
      </c>
      <c r="BD128" s="53">
        <f t="shared" si="160"/>
        <v>0</v>
      </c>
      <c r="BE128" s="53">
        <v>0</v>
      </c>
      <c r="BF128" s="53">
        <f>128</f>
        <v>128</v>
      </c>
      <c r="BH128" s="53">
        <f t="shared" si="161"/>
        <v>0</v>
      </c>
      <c r="BI128" s="53">
        <f t="shared" si="162"/>
        <v>0</v>
      </c>
      <c r="BJ128" s="53">
        <f t="shared" si="163"/>
        <v>0</v>
      </c>
      <c r="BK128" s="54" t="s">
        <v>117</v>
      </c>
      <c r="BL128" s="53">
        <v>722</v>
      </c>
      <c r="BW128" s="53">
        <v>21</v>
      </c>
      <c r="BX128" s="3" t="s">
        <v>461</v>
      </c>
    </row>
    <row r="129" spans="1:76" ht="23" x14ac:dyDescent="0.35">
      <c r="A129" s="1" t="s">
        <v>462</v>
      </c>
      <c r="B129" s="2" t="s">
        <v>463</v>
      </c>
      <c r="C129" s="91" t="s">
        <v>464</v>
      </c>
      <c r="D129" s="88"/>
      <c r="E129" s="2" t="s">
        <v>137</v>
      </c>
      <c r="F129" s="53">
        <v>184</v>
      </c>
      <c r="G129" s="77">
        <v>0</v>
      </c>
      <c r="H129" s="53">
        <f t="shared" si="144"/>
        <v>0</v>
      </c>
      <c r="I129" s="79" t="s">
        <v>1688</v>
      </c>
      <c r="J129" s="49"/>
      <c r="Z129" s="53">
        <f t="shared" si="145"/>
        <v>0</v>
      </c>
      <c r="AB129" s="53">
        <f t="shared" si="146"/>
        <v>0</v>
      </c>
      <c r="AC129" s="53">
        <f t="shared" si="147"/>
        <v>0</v>
      </c>
      <c r="AD129" s="53">
        <f t="shared" si="148"/>
        <v>0</v>
      </c>
      <c r="AE129" s="53">
        <f t="shared" si="149"/>
        <v>0</v>
      </c>
      <c r="AF129" s="53">
        <f t="shared" si="150"/>
        <v>0</v>
      </c>
      <c r="AG129" s="53">
        <f t="shared" si="151"/>
        <v>0</v>
      </c>
      <c r="AH129" s="53">
        <f t="shared" si="152"/>
        <v>0</v>
      </c>
      <c r="AI129" s="36" t="s">
        <v>10</v>
      </c>
      <c r="AJ129" s="53">
        <f t="shared" si="153"/>
        <v>0</v>
      </c>
      <c r="AK129" s="53">
        <f t="shared" si="154"/>
        <v>0</v>
      </c>
      <c r="AL129" s="53">
        <f t="shared" si="155"/>
        <v>0</v>
      </c>
      <c r="AN129" s="53">
        <v>21</v>
      </c>
      <c r="AO129" s="53">
        <f>G129*0.510882437</f>
        <v>0</v>
      </c>
      <c r="AP129" s="53">
        <f>G129*(1-0.510882437)</f>
        <v>0</v>
      </c>
      <c r="AQ129" s="54" t="s">
        <v>134</v>
      </c>
      <c r="AV129" s="53">
        <f t="shared" si="156"/>
        <v>0</v>
      </c>
      <c r="AW129" s="53">
        <f t="shared" si="157"/>
        <v>0</v>
      </c>
      <c r="AX129" s="53">
        <f t="shared" si="158"/>
        <v>0</v>
      </c>
      <c r="AY129" s="54" t="s">
        <v>430</v>
      </c>
      <c r="AZ129" s="54" t="s">
        <v>325</v>
      </c>
      <c r="BA129" s="36" t="s">
        <v>116</v>
      </c>
      <c r="BC129" s="53">
        <f t="shared" si="159"/>
        <v>0</v>
      </c>
      <c r="BD129" s="53">
        <f t="shared" si="160"/>
        <v>0</v>
      </c>
      <c r="BE129" s="53">
        <v>0</v>
      </c>
      <c r="BF129" s="53">
        <f>129</f>
        <v>129</v>
      </c>
      <c r="BH129" s="53">
        <f t="shared" si="161"/>
        <v>0</v>
      </c>
      <c r="BI129" s="53">
        <f t="shared" si="162"/>
        <v>0</v>
      </c>
      <c r="BJ129" s="53">
        <f t="shared" si="163"/>
        <v>0</v>
      </c>
      <c r="BK129" s="54" t="s">
        <v>117</v>
      </c>
      <c r="BL129" s="53">
        <v>722</v>
      </c>
      <c r="BW129" s="53">
        <v>21</v>
      </c>
      <c r="BX129" s="3" t="s">
        <v>464</v>
      </c>
    </row>
    <row r="130" spans="1:76" ht="23" x14ac:dyDescent="0.35">
      <c r="A130" s="1" t="s">
        <v>465</v>
      </c>
      <c r="B130" s="2" t="s">
        <v>466</v>
      </c>
      <c r="C130" s="91" t="s">
        <v>467</v>
      </c>
      <c r="D130" s="88"/>
      <c r="E130" s="2" t="s">
        <v>137</v>
      </c>
      <c r="F130" s="53">
        <v>375</v>
      </c>
      <c r="G130" s="77">
        <v>0</v>
      </c>
      <c r="H130" s="53">
        <f t="shared" si="144"/>
        <v>0</v>
      </c>
      <c r="I130" s="79" t="s">
        <v>1688</v>
      </c>
      <c r="J130" s="49"/>
      <c r="Z130" s="53">
        <f t="shared" si="145"/>
        <v>0</v>
      </c>
      <c r="AB130" s="53">
        <f t="shared" si="146"/>
        <v>0</v>
      </c>
      <c r="AC130" s="53">
        <f t="shared" si="147"/>
        <v>0</v>
      </c>
      <c r="AD130" s="53">
        <f t="shared" si="148"/>
        <v>0</v>
      </c>
      <c r="AE130" s="53">
        <f t="shared" si="149"/>
        <v>0</v>
      </c>
      <c r="AF130" s="53">
        <f t="shared" si="150"/>
        <v>0</v>
      </c>
      <c r="AG130" s="53">
        <f t="shared" si="151"/>
        <v>0</v>
      </c>
      <c r="AH130" s="53">
        <f t="shared" si="152"/>
        <v>0</v>
      </c>
      <c r="AI130" s="36" t="s">
        <v>10</v>
      </c>
      <c r="AJ130" s="53">
        <f t="shared" si="153"/>
        <v>0</v>
      </c>
      <c r="AK130" s="53">
        <f t="shared" si="154"/>
        <v>0</v>
      </c>
      <c r="AL130" s="53">
        <f t="shared" si="155"/>
        <v>0</v>
      </c>
      <c r="AN130" s="53">
        <v>21</v>
      </c>
      <c r="AO130" s="53">
        <f>G130*0.047050685</f>
        <v>0</v>
      </c>
      <c r="AP130" s="53">
        <f>G130*(1-0.047050685)</f>
        <v>0</v>
      </c>
      <c r="AQ130" s="54" t="s">
        <v>134</v>
      </c>
      <c r="AV130" s="53">
        <f t="shared" si="156"/>
        <v>0</v>
      </c>
      <c r="AW130" s="53">
        <f t="shared" si="157"/>
        <v>0</v>
      </c>
      <c r="AX130" s="53">
        <f t="shared" si="158"/>
        <v>0</v>
      </c>
      <c r="AY130" s="54" t="s">
        <v>430</v>
      </c>
      <c r="AZ130" s="54" t="s">
        <v>325</v>
      </c>
      <c r="BA130" s="36" t="s">
        <v>116</v>
      </c>
      <c r="BC130" s="53">
        <f t="shared" si="159"/>
        <v>0</v>
      </c>
      <c r="BD130" s="53">
        <f t="shared" si="160"/>
        <v>0</v>
      </c>
      <c r="BE130" s="53">
        <v>0</v>
      </c>
      <c r="BF130" s="53">
        <f>130</f>
        <v>130</v>
      </c>
      <c r="BH130" s="53">
        <f t="shared" si="161"/>
        <v>0</v>
      </c>
      <c r="BI130" s="53">
        <f t="shared" si="162"/>
        <v>0</v>
      </c>
      <c r="BJ130" s="53">
        <f t="shared" si="163"/>
        <v>0</v>
      </c>
      <c r="BK130" s="54" t="s">
        <v>117</v>
      </c>
      <c r="BL130" s="53">
        <v>722</v>
      </c>
      <c r="BW130" s="53">
        <v>21</v>
      </c>
      <c r="BX130" s="3" t="s">
        <v>467</v>
      </c>
    </row>
    <row r="131" spans="1:76" ht="23" x14ac:dyDescent="0.35">
      <c r="A131" s="1" t="s">
        <v>468</v>
      </c>
      <c r="B131" s="2" t="s">
        <v>469</v>
      </c>
      <c r="C131" s="91" t="s">
        <v>470</v>
      </c>
      <c r="D131" s="88"/>
      <c r="E131" s="2" t="s">
        <v>137</v>
      </c>
      <c r="F131" s="53">
        <v>375</v>
      </c>
      <c r="G131" s="77">
        <v>0</v>
      </c>
      <c r="H131" s="53">
        <f t="shared" si="144"/>
        <v>0</v>
      </c>
      <c r="I131" s="79" t="s">
        <v>1688</v>
      </c>
      <c r="J131" s="49"/>
      <c r="Z131" s="53">
        <f t="shared" si="145"/>
        <v>0</v>
      </c>
      <c r="AB131" s="53">
        <f t="shared" si="146"/>
        <v>0</v>
      </c>
      <c r="AC131" s="53">
        <f t="shared" si="147"/>
        <v>0</v>
      </c>
      <c r="AD131" s="53">
        <f t="shared" si="148"/>
        <v>0</v>
      </c>
      <c r="AE131" s="53">
        <f t="shared" si="149"/>
        <v>0</v>
      </c>
      <c r="AF131" s="53">
        <f t="shared" si="150"/>
        <v>0</v>
      </c>
      <c r="AG131" s="53">
        <f t="shared" si="151"/>
        <v>0</v>
      </c>
      <c r="AH131" s="53">
        <f t="shared" si="152"/>
        <v>0</v>
      </c>
      <c r="AI131" s="36" t="s">
        <v>10</v>
      </c>
      <c r="AJ131" s="53">
        <f t="shared" si="153"/>
        <v>0</v>
      </c>
      <c r="AK131" s="53">
        <f t="shared" si="154"/>
        <v>0</v>
      </c>
      <c r="AL131" s="53">
        <f t="shared" si="155"/>
        <v>0</v>
      </c>
      <c r="AN131" s="53">
        <v>21</v>
      </c>
      <c r="AO131" s="53">
        <f>G131*0.253729482</f>
        <v>0</v>
      </c>
      <c r="AP131" s="53">
        <f>G131*(1-0.253729482)</f>
        <v>0</v>
      </c>
      <c r="AQ131" s="54" t="s">
        <v>134</v>
      </c>
      <c r="AV131" s="53">
        <f t="shared" si="156"/>
        <v>0</v>
      </c>
      <c r="AW131" s="53">
        <f t="shared" si="157"/>
        <v>0</v>
      </c>
      <c r="AX131" s="53">
        <f t="shared" si="158"/>
        <v>0</v>
      </c>
      <c r="AY131" s="54" t="s">
        <v>430</v>
      </c>
      <c r="AZ131" s="54" t="s">
        <v>325</v>
      </c>
      <c r="BA131" s="36" t="s">
        <v>116</v>
      </c>
      <c r="BC131" s="53">
        <f t="shared" si="159"/>
        <v>0</v>
      </c>
      <c r="BD131" s="53">
        <f t="shared" si="160"/>
        <v>0</v>
      </c>
      <c r="BE131" s="53">
        <v>0</v>
      </c>
      <c r="BF131" s="53">
        <f>131</f>
        <v>131</v>
      </c>
      <c r="BH131" s="53">
        <f t="shared" si="161"/>
        <v>0</v>
      </c>
      <c r="BI131" s="53">
        <f t="shared" si="162"/>
        <v>0</v>
      </c>
      <c r="BJ131" s="53">
        <f t="shared" si="163"/>
        <v>0</v>
      </c>
      <c r="BK131" s="54" t="s">
        <v>117</v>
      </c>
      <c r="BL131" s="53">
        <v>722</v>
      </c>
      <c r="BW131" s="53">
        <v>21</v>
      </c>
      <c r="BX131" s="3" t="s">
        <v>470</v>
      </c>
    </row>
    <row r="132" spans="1:76" ht="23" x14ac:dyDescent="0.35">
      <c r="A132" s="1" t="s">
        <v>471</v>
      </c>
      <c r="B132" s="2" t="s">
        <v>472</v>
      </c>
      <c r="C132" s="91" t="s">
        <v>473</v>
      </c>
      <c r="D132" s="88"/>
      <c r="E132" s="2" t="s">
        <v>434</v>
      </c>
      <c r="F132" s="53">
        <v>1</v>
      </c>
      <c r="G132" s="77">
        <v>0</v>
      </c>
      <c r="H132" s="53">
        <f t="shared" si="144"/>
        <v>0</v>
      </c>
      <c r="I132" s="79" t="s">
        <v>1688</v>
      </c>
      <c r="J132" s="49"/>
      <c r="Z132" s="53">
        <f t="shared" si="145"/>
        <v>0</v>
      </c>
      <c r="AB132" s="53">
        <f t="shared" si="146"/>
        <v>0</v>
      </c>
      <c r="AC132" s="53">
        <f t="shared" si="147"/>
        <v>0</v>
      </c>
      <c r="AD132" s="53">
        <f t="shared" si="148"/>
        <v>0</v>
      </c>
      <c r="AE132" s="53">
        <f t="shared" si="149"/>
        <v>0</v>
      </c>
      <c r="AF132" s="53">
        <f t="shared" si="150"/>
        <v>0</v>
      </c>
      <c r="AG132" s="53">
        <f t="shared" si="151"/>
        <v>0</v>
      </c>
      <c r="AH132" s="53">
        <f t="shared" si="152"/>
        <v>0</v>
      </c>
      <c r="AI132" s="36" t="s">
        <v>10</v>
      </c>
      <c r="AJ132" s="53">
        <f t="shared" si="153"/>
        <v>0</v>
      </c>
      <c r="AK132" s="53">
        <f t="shared" si="154"/>
        <v>0</v>
      </c>
      <c r="AL132" s="53">
        <f t="shared" si="155"/>
        <v>0</v>
      </c>
      <c r="AN132" s="53">
        <v>21</v>
      </c>
      <c r="AO132" s="53">
        <f>G132*0.833427797</f>
        <v>0</v>
      </c>
      <c r="AP132" s="53">
        <f>G132*(1-0.833427797)</f>
        <v>0</v>
      </c>
      <c r="AQ132" s="54" t="s">
        <v>134</v>
      </c>
      <c r="AV132" s="53">
        <f t="shared" si="156"/>
        <v>0</v>
      </c>
      <c r="AW132" s="53">
        <f t="shared" si="157"/>
        <v>0</v>
      </c>
      <c r="AX132" s="53">
        <f t="shared" si="158"/>
        <v>0</v>
      </c>
      <c r="AY132" s="54" t="s">
        <v>430</v>
      </c>
      <c r="AZ132" s="54" t="s">
        <v>325</v>
      </c>
      <c r="BA132" s="36" t="s">
        <v>116</v>
      </c>
      <c r="BC132" s="53">
        <f t="shared" si="159"/>
        <v>0</v>
      </c>
      <c r="BD132" s="53">
        <f t="shared" si="160"/>
        <v>0</v>
      </c>
      <c r="BE132" s="53">
        <v>0</v>
      </c>
      <c r="BF132" s="53">
        <f>132</f>
        <v>132</v>
      </c>
      <c r="BH132" s="53">
        <f t="shared" si="161"/>
        <v>0</v>
      </c>
      <c r="BI132" s="53">
        <f t="shared" si="162"/>
        <v>0</v>
      </c>
      <c r="BJ132" s="53">
        <f t="shared" si="163"/>
        <v>0</v>
      </c>
      <c r="BK132" s="54" t="s">
        <v>117</v>
      </c>
      <c r="BL132" s="53">
        <v>722</v>
      </c>
      <c r="BW132" s="53">
        <v>21</v>
      </c>
      <c r="BX132" s="3" t="s">
        <v>473</v>
      </c>
    </row>
    <row r="133" spans="1:76" ht="23" x14ac:dyDescent="0.35">
      <c r="A133" s="1" t="s">
        <v>474</v>
      </c>
      <c r="B133" s="2" t="s">
        <v>475</v>
      </c>
      <c r="C133" s="91" t="s">
        <v>476</v>
      </c>
      <c r="D133" s="88"/>
      <c r="E133" s="2" t="s">
        <v>137</v>
      </c>
      <c r="F133" s="53">
        <v>375</v>
      </c>
      <c r="G133" s="77">
        <v>0</v>
      </c>
      <c r="H133" s="53">
        <f t="shared" si="144"/>
        <v>0</v>
      </c>
      <c r="I133" s="79" t="s">
        <v>1688</v>
      </c>
      <c r="J133" s="49"/>
      <c r="Z133" s="53">
        <f t="shared" si="145"/>
        <v>0</v>
      </c>
      <c r="AB133" s="53">
        <f t="shared" si="146"/>
        <v>0</v>
      </c>
      <c r="AC133" s="53">
        <f t="shared" si="147"/>
        <v>0</v>
      </c>
      <c r="AD133" s="53">
        <f t="shared" si="148"/>
        <v>0</v>
      </c>
      <c r="AE133" s="53">
        <f t="shared" si="149"/>
        <v>0</v>
      </c>
      <c r="AF133" s="53">
        <f t="shared" si="150"/>
        <v>0</v>
      </c>
      <c r="AG133" s="53">
        <f t="shared" si="151"/>
        <v>0</v>
      </c>
      <c r="AH133" s="53">
        <f t="shared" si="152"/>
        <v>0</v>
      </c>
      <c r="AI133" s="36" t="s">
        <v>10</v>
      </c>
      <c r="AJ133" s="53">
        <f t="shared" si="153"/>
        <v>0</v>
      </c>
      <c r="AK133" s="53">
        <f t="shared" si="154"/>
        <v>0</v>
      </c>
      <c r="AL133" s="53">
        <f t="shared" si="155"/>
        <v>0</v>
      </c>
      <c r="AN133" s="53">
        <v>21</v>
      </c>
      <c r="AO133" s="53">
        <f>G133*0</f>
        <v>0</v>
      </c>
      <c r="AP133" s="53">
        <f>G133*(1-0)</f>
        <v>0</v>
      </c>
      <c r="AQ133" s="54" t="s">
        <v>134</v>
      </c>
      <c r="AV133" s="53">
        <f t="shared" si="156"/>
        <v>0</v>
      </c>
      <c r="AW133" s="53">
        <f t="shared" si="157"/>
        <v>0</v>
      </c>
      <c r="AX133" s="53">
        <f t="shared" si="158"/>
        <v>0</v>
      </c>
      <c r="AY133" s="54" t="s">
        <v>430</v>
      </c>
      <c r="AZ133" s="54" t="s">
        <v>325</v>
      </c>
      <c r="BA133" s="36" t="s">
        <v>116</v>
      </c>
      <c r="BC133" s="53">
        <f t="shared" si="159"/>
        <v>0</v>
      </c>
      <c r="BD133" s="53">
        <f t="shared" si="160"/>
        <v>0</v>
      </c>
      <c r="BE133" s="53">
        <v>0</v>
      </c>
      <c r="BF133" s="53">
        <f>133</f>
        <v>133</v>
      </c>
      <c r="BH133" s="53">
        <f t="shared" si="161"/>
        <v>0</v>
      </c>
      <c r="BI133" s="53">
        <f t="shared" si="162"/>
        <v>0</v>
      </c>
      <c r="BJ133" s="53">
        <f t="shared" si="163"/>
        <v>0</v>
      </c>
      <c r="BK133" s="54" t="s">
        <v>117</v>
      </c>
      <c r="BL133" s="53">
        <v>722</v>
      </c>
      <c r="BW133" s="53">
        <v>21</v>
      </c>
      <c r="BX133" s="3" t="s">
        <v>476</v>
      </c>
    </row>
    <row r="134" spans="1:76" ht="23" x14ac:dyDescent="0.35">
      <c r="A134" s="1" t="s">
        <v>477</v>
      </c>
      <c r="B134" s="2" t="s">
        <v>478</v>
      </c>
      <c r="C134" s="91" t="s">
        <v>479</v>
      </c>
      <c r="D134" s="88"/>
      <c r="E134" s="2" t="s">
        <v>121</v>
      </c>
      <c r="F134" s="53">
        <v>92</v>
      </c>
      <c r="G134" s="77">
        <v>0</v>
      </c>
      <c r="H134" s="53">
        <f t="shared" si="144"/>
        <v>0</v>
      </c>
      <c r="I134" s="79" t="s">
        <v>1688</v>
      </c>
      <c r="J134" s="49"/>
      <c r="Z134" s="53">
        <f t="shared" si="145"/>
        <v>0</v>
      </c>
      <c r="AB134" s="53">
        <f t="shared" si="146"/>
        <v>0</v>
      </c>
      <c r="AC134" s="53">
        <f t="shared" si="147"/>
        <v>0</v>
      </c>
      <c r="AD134" s="53">
        <f t="shared" si="148"/>
        <v>0</v>
      </c>
      <c r="AE134" s="53">
        <f t="shared" si="149"/>
        <v>0</v>
      </c>
      <c r="AF134" s="53">
        <f t="shared" si="150"/>
        <v>0</v>
      </c>
      <c r="AG134" s="53">
        <f t="shared" si="151"/>
        <v>0</v>
      </c>
      <c r="AH134" s="53">
        <f t="shared" si="152"/>
        <v>0</v>
      </c>
      <c r="AI134" s="36" t="s">
        <v>10</v>
      </c>
      <c r="AJ134" s="53">
        <f t="shared" si="153"/>
        <v>0</v>
      </c>
      <c r="AK134" s="53">
        <f t="shared" si="154"/>
        <v>0</v>
      </c>
      <c r="AL134" s="53">
        <f t="shared" si="155"/>
        <v>0</v>
      </c>
      <c r="AN134" s="53">
        <v>21</v>
      </c>
      <c r="AO134" s="53">
        <f>G134*0</f>
        <v>0</v>
      </c>
      <c r="AP134" s="53">
        <f>G134*(1-0)</f>
        <v>0</v>
      </c>
      <c r="AQ134" s="54" t="s">
        <v>134</v>
      </c>
      <c r="AV134" s="53">
        <f t="shared" si="156"/>
        <v>0</v>
      </c>
      <c r="AW134" s="53">
        <f t="shared" si="157"/>
        <v>0</v>
      </c>
      <c r="AX134" s="53">
        <f t="shared" si="158"/>
        <v>0</v>
      </c>
      <c r="AY134" s="54" t="s">
        <v>430</v>
      </c>
      <c r="AZ134" s="54" t="s">
        <v>325</v>
      </c>
      <c r="BA134" s="36" t="s">
        <v>116</v>
      </c>
      <c r="BC134" s="53">
        <f t="shared" si="159"/>
        <v>0</v>
      </c>
      <c r="BD134" s="53">
        <f t="shared" si="160"/>
        <v>0</v>
      </c>
      <c r="BE134" s="53">
        <v>0</v>
      </c>
      <c r="BF134" s="53">
        <f>134</f>
        <v>134</v>
      </c>
      <c r="BH134" s="53">
        <f t="shared" si="161"/>
        <v>0</v>
      </c>
      <c r="BI134" s="53">
        <f t="shared" si="162"/>
        <v>0</v>
      </c>
      <c r="BJ134" s="53">
        <f t="shared" si="163"/>
        <v>0</v>
      </c>
      <c r="BK134" s="54" t="s">
        <v>117</v>
      </c>
      <c r="BL134" s="53">
        <v>722</v>
      </c>
      <c r="BW134" s="53">
        <v>21</v>
      </c>
      <c r="BX134" s="3" t="s">
        <v>479</v>
      </c>
    </row>
    <row r="135" spans="1:76" ht="23" x14ac:dyDescent="0.35">
      <c r="A135" s="1" t="s">
        <v>480</v>
      </c>
      <c r="B135" s="2" t="s">
        <v>481</v>
      </c>
      <c r="C135" s="91" t="s">
        <v>482</v>
      </c>
      <c r="D135" s="88"/>
      <c r="E135" s="2" t="s">
        <v>121</v>
      </c>
      <c r="F135" s="53">
        <v>4</v>
      </c>
      <c r="G135" s="77">
        <v>0</v>
      </c>
      <c r="H135" s="53">
        <f t="shared" si="144"/>
        <v>0</v>
      </c>
      <c r="I135" s="79" t="s">
        <v>1688</v>
      </c>
      <c r="J135" s="49"/>
      <c r="Z135" s="53">
        <f t="shared" si="145"/>
        <v>0</v>
      </c>
      <c r="AB135" s="53">
        <f t="shared" si="146"/>
        <v>0</v>
      </c>
      <c r="AC135" s="53">
        <f t="shared" si="147"/>
        <v>0</v>
      </c>
      <c r="AD135" s="53">
        <f t="shared" si="148"/>
        <v>0</v>
      </c>
      <c r="AE135" s="53">
        <f t="shared" si="149"/>
        <v>0</v>
      </c>
      <c r="AF135" s="53">
        <f t="shared" si="150"/>
        <v>0</v>
      </c>
      <c r="AG135" s="53">
        <f t="shared" si="151"/>
        <v>0</v>
      </c>
      <c r="AH135" s="53">
        <f t="shared" si="152"/>
        <v>0</v>
      </c>
      <c r="AI135" s="36" t="s">
        <v>10</v>
      </c>
      <c r="AJ135" s="53">
        <f t="shared" si="153"/>
        <v>0</v>
      </c>
      <c r="AK135" s="53">
        <f t="shared" si="154"/>
        <v>0</v>
      </c>
      <c r="AL135" s="53">
        <f t="shared" si="155"/>
        <v>0</v>
      </c>
      <c r="AN135" s="53">
        <v>21</v>
      </c>
      <c r="AO135" s="53">
        <f>G135*0.323803098</f>
        <v>0</v>
      </c>
      <c r="AP135" s="53">
        <f>G135*(1-0.323803098)</f>
        <v>0</v>
      </c>
      <c r="AQ135" s="54" t="s">
        <v>134</v>
      </c>
      <c r="AV135" s="53">
        <f t="shared" si="156"/>
        <v>0</v>
      </c>
      <c r="AW135" s="53">
        <f t="shared" si="157"/>
        <v>0</v>
      </c>
      <c r="AX135" s="53">
        <f t="shared" si="158"/>
        <v>0</v>
      </c>
      <c r="AY135" s="54" t="s">
        <v>430</v>
      </c>
      <c r="AZ135" s="54" t="s">
        <v>325</v>
      </c>
      <c r="BA135" s="36" t="s">
        <v>116</v>
      </c>
      <c r="BC135" s="53">
        <f t="shared" si="159"/>
        <v>0</v>
      </c>
      <c r="BD135" s="53">
        <f t="shared" si="160"/>
        <v>0</v>
      </c>
      <c r="BE135" s="53">
        <v>0</v>
      </c>
      <c r="BF135" s="53">
        <f>135</f>
        <v>135</v>
      </c>
      <c r="BH135" s="53">
        <f t="shared" si="161"/>
        <v>0</v>
      </c>
      <c r="BI135" s="53">
        <f t="shared" si="162"/>
        <v>0</v>
      </c>
      <c r="BJ135" s="53">
        <f t="shared" si="163"/>
        <v>0</v>
      </c>
      <c r="BK135" s="54" t="s">
        <v>117</v>
      </c>
      <c r="BL135" s="53">
        <v>722</v>
      </c>
      <c r="BW135" s="53">
        <v>21</v>
      </c>
      <c r="BX135" s="3" t="s">
        <v>482</v>
      </c>
    </row>
    <row r="136" spans="1:76" ht="23" x14ac:dyDescent="0.35">
      <c r="A136" s="1" t="s">
        <v>483</v>
      </c>
      <c r="B136" s="2" t="s">
        <v>484</v>
      </c>
      <c r="C136" s="91" t="s">
        <v>485</v>
      </c>
      <c r="D136" s="88"/>
      <c r="E136" s="2" t="s">
        <v>121</v>
      </c>
      <c r="F136" s="53">
        <v>17</v>
      </c>
      <c r="G136" s="77">
        <v>0</v>
      </c>
      <c r="H136" s="53">
        <f t="shared" si="144"/>
        <v>0</v>
      </c>
      <c r="I136" s="79" t="s">
        <v>1688</v>
      </c>
      <c r="J136" s="49"/>
      <c r="Z136" s="53">
        <f t="shared" si="145"/>
        <v>0</v>
      </c>
      <c r="AB136" s="53">
        <f t="shared" si="146"/>
        <v>0</v>
      </c>
      <c r="AC136" s="53">
        <f t="shared" si="147"/>
        <v>0</v>
      </c>
      <c r="AD136" s="53">
        <f t="shared" si="148"/>
        <v>0</v>
      </c>
      <c r="AE136" s="53">
        <f t="shared" si="149"/>
        <v>0</v>
      </c>
      <c r="AF136" s="53">
        <f t="shared" si="150"/>
        <v>0</v>
      </c>
      <c r="AG136" s="53">
        <f t="shared" si="151"/>
        <v>0</v>
      </c>
      <c r="AH136" s="53">
        <f t="shared" si="152"/>
        <v>0</v>
      </c>
      <c r="AI136" s="36" t="s">
        <v>10</v>
      </c>
      <c r="AJ136" s="53">
        <f t="shared" si="153"/>
        <v>0</v>
      </c>
      <c r="AK136" s="53">
        <f t="shared" si="154"/>
        <v>0</v>
      </c>
      <c r="AL136" s="53">
        <f t="shared" si="155"/>
        <v>0</v>
      </c>
      <c r="AN136" s="53">
        <v>21</v>
      </c>
      <c r="AO136" s="53">
        <f>G136*0.777873661</f>
        <v>0</v>
      </c>
      <c r="AP136" s="53">
        <f>G136*(1-0.777873661)</f>
        <v>0</v>
      </c>
      <c r="AQ136" s="54" t="s">
        <v>134</v>
      </c>
      <c r="AV136" s="53">
        <f t="shared" si="156"/>
        <v>0</v>
      </c>
      <c r="AW136" s="53">
        <f t="shared" si="157"/>
        <v>0</v>
      </c>
      <c r="AX136" s="53">
        <f t="shared" si="158"/>
        <v>0</v>
      </c>
      <c r="AY136" s="54" t="s">
        <v>430</v>
      </c>
      <c r="AZ136" s="54" t="s">
        <v>325</v>
      </c>
      <c r="BA136" s="36" t="s">
        <v>116</v>
      </c>
      <c r="BC136" s="53">
        <f t="shared" si="159"/>
        <v>0</v>
      </c>
      <c r="BD136" s="53">
        <f t="shared" si="160"/>
        <v>0</v>
      </c>
      <c r="BE136" s="53">
        <v>0</v>
      </c>
      <c r="BF136" s="53">
        <f>136</f>
        <v>136</v>
      </c>
      <c r="BH136" s="53">
        <f t="shared" si="161"/>
        <v>0</v>
      </c>
      <c r="BI136" s="53">
        <f t="shared" si="162"/>
        <v>0</v>
      </c>
      <c r="BJ136" s="53">
        <f t="shared" si="163"/>
        <v>0</v>
      </c>
      <c r="BK136" s="54" t="s">
        <v>117</v>
      </c>
      <c r="BL136" s="53">
        <v>722</v>
      </c>
      <c r="BW136" s="53">
        <v>21</v>
      </c>
      <c r="BX136" s="3" t="s">
        <v>485</v>
      </c>
    </row>
    <row r="137" spans="1:76" ht="23" x14ac:dyDescent="0.35">
      <c r="A137" s="1" t="s">
        <v>486</v>
      </c>
      <c r="B137" s="2" t="s">
        <v>487</v>
      </c>
      <c r="C137" s="91" t="s">
        <v>488</v>
      </c>
      <c r="D137" s="88"/>
      <c r="E137" s="2" t="s">
        <v>121</v>
      </c>
      <c r="F137" s="53">
        <v>19</v>
      </c>
      <c r="G137" s="77">
        <v>0</v>
      </c>
      <c r="H137" s="53">
        <f t="shared" si="144"/>
        <v>0</v>
      </c>
      <c r="I137" s="79" t="s">
        <v>1688</v>
      </c>
      <c r="J137" s="49"/>
      <c r="Z137" s="53">
        <f t="shared" si="145"/>
        <v>0</v>
      </c>
      <c r="AB137" s="53">
        <f t="shared" si="146"/>
        <v>0</v>
      </c>
      <c r="AC137" s="53">
        <f t="shared" si="147"/>
        <v>0</v>
      </c>
      <c r="AD137" s="53">
        <f t="shared" si="148"/>
        <v>0</v>
      </c>
      <c r="AE137" s="53">
        <f t="shared" si="149"/>
        <v>0</v>
      </c>
      <c r="AF137" s="53">
        <f t="shared" si="150"/>
        <v>0</v>
      </c>
      <c r="AG137" s="53">
        <f t="shared" si="151"/>
        <v>0</v>
      </c>
      <c r="AH137" s="53">
        <f t="shared" si="152"/>
        <v>0</v>
      </c>
      <c r="AI137" s="36" t="s">
        <v>10</v>
      </c>
      <c r="AJ137" s="53">
        <f t="shared" si="153"/>
        <v>0</v>
      </c>
      <c r="AK137" s="53">
        <f t="shared" si="154"/>
        <v>0</v>
      </c>
      <c r="AL137" s="53">
        <f t="shared" si="155"/>
        <v>0</v>
      </c>
      <c r="AN137" s="53">
        <v>21</v>
      </c>
      <c r="AO137" s="53">
        <f>G137*0.689276081</f>
        <v>0</v>
      </c>
      <c r="AP137" s="53">
        <f>G137*(1-0.689276081)</f>
        <v>0</v>
      </c>
      <c r="AQ137" s="54" t="s">
        <v>134</v>
      </c>
      <c r="AV137" s="53">
        <f t="shared" si="156"/>
        <v>0</v>
      </c>
      <c r="AW137" s="53">
        <f t="shared" si="157"/>
        <v>0</v>
      </c>
      <c r="AX137" s="53">
        <f t="shared" si="158"/>
        <v>0</v>
      </c>
      <c r="AY137" s="54" t="s">
        <v>430</v>
      </c>
      <c r="AZ137" s="54" t="s">
        <v>325</v>
      </c>
      <c r="BA137" s="36" t="s">
        <v>116</v>
      </c>
      <c r="BC137" s="53">
        <f t="shared" si="159"/>
        <v>0</v>
      </c>
      <c r="BD137" s="53">
        <f t="shared" si="160"/>
        <v>0</v>
      </c>
      <c r="BE137" s="53">
        <v>0</v>
      </c>
      <c r="BF137" s="53">
        <f>137</f>
        <v>137</v>
      </c>
      <c r="BH137" s="53">
        <f t="shared" si="161"/>
        <v>0</v>
      </c>
      <c r="BI137" s="53">
        <f t="shared" si="162"/>
        <v>0</v>
      </c>
      <c r="BJ137" s="53">
        <f t="shared" si="163"/>
        <v>0</v>
      </c>
      <c r="BK137" s="54" t="s">
        <v>117</v>
      </c>
      <c r="BL137" s="53">
        <v>722</v>
      </c>
      <c r="BW137" s="53">
        <v>21</v>
      </c>
      <c r="BX137" s="3" t="s">
        <v>488</v>
      </c>
    </row>
    <row r="138" spans="1:76" ht="23" x14ac:dyDescent="0.35">
      <c r="A138" s="1" t="s">
        <v>489</v>
      </c>
      <c r="B138" s="2" t="s">
        <v>490</v>
      </c>
      <c r="C138" s="91" t="s">
        <v>491</v>
      </c>
      <c r="D138" s="88"/>
      <c r="E138" s="2" t="s">
        <v>121</v>
      </c>
      <c r="F138" s="53">
        <v>5</v>
      </c>
      <c r="G138" s="77">
        <v>0</v>
      </c>
      <c r="H138" s="53">
        <f t="shared" si="144"/>
        <v>0</v>
      </c>
      <c r="I138" s="79" t="s">
        <v>1688</v>
      </c>
      <c r="J138" s="49"/>
      <c r="Z138" s="53">
        <f t="shared" si="145"/>
        <v>0</v>
      </c>
      <c r="AB138" s="53">
        <f t="shared" si="146"/>
        <v>0</v>
      </c>
      <c r="AC138" s="53">
        <f t="shared" si="147"/>
        <v>0</v>
      </c>
      <c r="AD138" s="53">
        <f t="shared" si="148"/>
        <v>0</v>
      </c>
      <c r="AE138" s="53">
        <f t="shared" si="149"/>
        <v>0</v>
      </c>
      <c r="AF138" s="53">
        <f t="shared" si="150"/>
        <v>0</v>
      </c>
      <c r="AG138" s="53">
        <f t="shared" si="151"/>
        <v>0</v>
      </c>
      <c r="AH138" s="53">
        <f t="shared" si="152"/>
        <v>0</v>
      </c>
      <c r="AI138" s="36" t="s">
        <v>10</v>
      </c>
      <c r="AJ138" s="53">
        <f t="shared" si="153"/>
        <v>0</v>
      </c>
      <c r="AK138" s="53">
        <f t="shared" si="154"/>
        <v>0</v>
      </c>
      <c r="AL138" s="53">
        <f t="shared" si="155"/>
        <v>0</v>
      </c>
      <c r="AN138" s="53">
        <v>21</v>
      </c>
      <c r="AO138" s="53">
        <f>G138*0.747368579</f>
        <v>0</v>
      </c>
      <c r="AP138" s="53">
        <f>G138*(1-0.747368579)</f>
        <v>0</v>
      </c>
      <c r="AQ138" s="54" t="s">
        <v>134</v>
      </c>
      <c r="AV138" s="53">
        <f t="shared" si="156"/>
        <v>0</v>
      </c>
      <c r="AW138" s="53">
        <f t="shared" si="157"/>
        <v>0</v>
      </c>
      <c r="AX138" s="53">
        <f t="shared" si="158"/>
        <v>0</v>
      </c>
      <c r="AY138" s="54" t="s">
        <v>430</v>
      </c>
      <c r="AZ138" s="54" t="s">
        <v>325</v>
      </c>
      <c r="BA138" s="36" t="s">
        <v>116</v>
      </c>
      <c r="BC138" s="53">
        <f t="shared" si="159"/>
        <v>0</v>
      </c>
      <c r="BD138" s="53">
        <f t="shared" si="160"/>
        <v>0</v>
      </c>
      <c r="BE138" s="53">
        <v>0</v>
      </c>
      <c r="BF138" s="53">
        <f>138</f>
        <v>138</v>
      </c>
      <c r="BH138" s="53">
        <f t="shared" si="161"/>
        <v>0</v>
      </c>
      <c r="BI138" s="53">
        <f t="shared" si="162"/>
        <v>0</v>
      </c>
      <c r="BJ138" s="53">
        <f t="shared" si="163"/>
        <v>0</v>
      </c>
      <c r="BK138" s="54" t="s">
        <v>117</v>
      </c>
      <c r="BL138" s="53">
        <v>722</v>
      </c>
      <c r="BW138" s="53">
        <v>21</v>
      </c>
      <c r="BX138" s="3" t="s">
        <v>491</v>
      </c>
    </row>
    <row r="139" spans="1:76" ht="23" x14ac:dyDescent="0.35">
      <c r="A139" s="1" t="s">
        <v>492</v>
      </c>
      <c r="B139" s="2" t="s">
        <v>493</v>
      </c>
      <c r="C139" s="91" t="s">
        <v>494</v>
      </c>
      <c r="D139" s="88"/>
      <c r="E139" s="2" t="s">
        <v>121</v>
      </c>
      <c r="F139" s="53">
        <v>2</v>
      </c>
      <c r="G139" s="77">
        <v>0</v>
      </c>
      <c r="H139" s="53">
        <f t="shared" si="144"/>
        <v>0</v>
      </c>
      <c r="I139" s="79" t="s">
        <v>1688</v>
      </c>
      <c r="J139" s="49"/>
      <c r="Z139" s="53">
        <f t="shared" si="145"/>
        <v>0</v>
      </c>
      <c r="AB139" s="53">
        <f t="shared" si="146"/>
        <v>0</v>
      </c>
      <c r="AC139" s="53">
        <f t="shared" si="147"/>
        <v>0</v>
      </c>
      <c r="AD139" s="53">
        <f t="shared" si="148"/>
        <v>0</v>
      </c>
      <c r="AE139" s="53">
        <f t="shared" si="149"/>
        <v>0</v>
      </c>
      <c r="AF139" s="53">
        <f t="shared" si="150"/>
        <v>0</v>
      </c>
      <c r="AG139" s="53">
        <f t="shared" si="151"/>
        <v>0</v>
      </c>
      <c r="AH139" s="53">
        <f t="shared" si="152"/>
        <v>0</v>
      </c>
      <c r="AI139" s="36" t="s">
        <v>10</v>
      </c>
      <c r="AJ139" s="53">
        <f t="shared" si="153"/>
        <v>0</v>
      </c>
      <c r="AK139" s="53">
        <f t="shared" si="154"/>
        <v>0</v>
      </c>
      <c r="AL139" s="53">
        <f t="shared" si="155"/>
        <v>0</v>
      </c>
      <c r="AN139" s="53">
        <v>21</v>
      </c>
      <c r="AO139" s="53">
        <f>G139*0.782481426</f>
        <v>0</v>
      </c>
      <c r="AP139" s="53">
        <f>G139*(1-0.782481426)</f>
        <v>0</v>
      </c>
      <c r="AQ139" s="54" t="s">
        <v>134</v>
      </c>
      <c r="AV139" s="53">
        <f t="shared" si="156"/>
        <v>0</v>
      </c>
      <c r="AW139" s="53">
        <f t="shared" si="157"/>
        <v>0</v>
      </c>
      <c r="AX139" s="53">
        <f t="shared" si="158"/>
        <v>0</v>
      </c>
      <c r="AY139" s="54" t="s">
        <v>430</v>
      </c>
      <c r="AZ139" s="54" t="s">
        <v>325</v>
      </c>
      <c r="BA139" s="36" t="s">
        <v>116</v>
      </c>
      <c r="BC139" s="53">
        <f t="shared" si="159"/>
        <v>0</v>
      </c>
      <c r="BD139" s="53">
        <f t="shared" si="160"/>
        <v>0</v>
      </c>
      <c r="BE139" s="53">
        <v>0</v>
      </c>
      <c r="BF139" s="53">
        <f>139</f>
        <v>139</v>
      </c>
      <c r="BH139" s="53">
        <f t="shared" si="161"/>
        <v>0</v>
      </c>
      <c r="BI139" s="53">
        <f t="shared" si="162"/>
        <v>0</v>
      </c>
      <c r="BJ139" s="53">
        <f t="shared" si="163"/>
        <v>0</v>
      </c>
      <c r="BK139" s="54" t="s">
        <v>117</v>
      </c>
      <c r="BL139" s="53">
        <v>722</v>
      </c>
      <c r="BW139" s="53">
        <v>21</v>
      </c>
      <c r="BX139" s="3" t="s">
        <v>494</v>
      </c>
    </row>
    <row r="140" spans="1:76" ht="23" x14ac:dyDescent="0.35">
      <c r="A140" s="1" t="s">
        <v>495</v>
      </c>
      <c r="B140" s="2" t="s">
        <v>496</v>
      </c>
      <c r="C140" s="91" t="s">
        <v>497</v>
      </c>
      <c r="D140" s="88"/>
      <c r="E140" s="2" t="s">
        <v>121</v>
      </c>
      <c r="F140" s="53">
        <v>91</v>
      </c>
      <c r="G140" s="77">
        <v>0</v>
      </c>
      <c r="H140" s="53">
        <f t="shared" si="144"/>
        <v>0</v>
      </c>
      <c r="I140" s="79" t="s">
        <v>1688</v>
      </c>
      <c r="J140" s="49"/>
      <c r="Z140" s="53">
        <f t="shared" si="145"/>
        <v>0</v>
      </c>
      <c r="AB140" s="53">
        <f t="shared" si="146"/>
        <v>0</v>
      </c>
      <c r="AC140" s="53">
        <f t="shared" si="147"/>
        <v>0</v>
      </c>
      <c r="AD140" s="53">
        <f t="shared" si="148"/>
        <v>0</v>
      </c>
      <c r="AE140" s="53">
        <f t="shared" si="149"/>
        <v>0</v>
      </c>
      <c r="AF140" s="53">
        <f t="shared" si="150"/>
        <v>0</v>
      </c>
      <c r="AG140" s="53">
        <f t="shared" si="151"/>
        <v>0</v>
      </c>
      <c r="AH140" s="53">
        <f t="shared" si="152"/>
        <v>0</v>
      </c>
      <c r="AI140" s="36" t="s">
        <v>10</v>
      </c>
      <c r="AJ140" s="53">
        <f t="shared" si="153"/>
        <v>0</v>
      </c>
      <c r="AK140" s="53">
        <f t="shared" si="154"/>
        <v>0</v>
      </c>
      <c r="AL140" s="53">
        <f t="shared" si="155"/>
        <v>0</v>
      </c>
      <c r="AN140" s="53">
        <v>21</v>
      </c>
      <c r="AO140" s="53">
        <f>G140*0</f>
        <v>0</v>
      </c>
      <c r="AP140" s="53">
        <f>G140*(1-0)</f>
        <v>0</v>
      </c>
      <c r="AQ140" s="54" t="s">
        <v>134</v>
      </c>
      <c r="AV140" s="53">
        <f t="shared" si="156"/>
        <v>0</v>
      </c>
      <c r="AW140" s="53">
        <f t="shared" si="157"/>
        <v>0</v>
      </c>
      <c r="AX140" s="53">
        <f t="shared" si="158"/>
        <v>0</v>
      </c>
      <c r="AY140" s="54" t="s">
        <v>430</v>
      </c>
      <c r="AZ140" s="54" t="s">
        <v>325</v>
      </c>
      <c r="BA140" s="36" t="s">
        <v>116</v>
      </c>
      <c r="BC140" s="53">
        <f t="shared" si="159"/>
        <v>0</v>
      </c>
      <c r="BD140" s="53">
        <f t="shared" si="160"/>
        <v>0</v>
      </c>
      <c r="BE140" s="53">
        <v>0</v>
      </c>
      <c r="BF140" s="53">
        <f>140</f>
        <v>140</v>
      </c>
      <c r="BH140" s="53">
        <f t="shared" si="161"/>
        <v>0</v>
      </c>
      <c r="BI140" s="53">
        <f t="shared" si="162"/>
        <v>0</v>
      </c>
      <c r="BJ140" s="53">
        <f t="shared" si="163"/>
        <v>0</v>
      </c>
      <c r="BK140" s="54" t="s">
        <v>117</v>
      </c>
      <c r="BL140" s="53">
        <v>722</v>
      </c>
      <c r="BW140" s="53">
        <v>21</v>
      </c>
      <c r="BX140" s="3" t="s">
        <v>497</v>
      </c>
    </row>
    <row r="141" spans="1:76" ht="35" customHeight="1" x14ac:dyDescent="0.35">
      <c r="A141" s="1" t="s">
        <v>498</v>
      </c>
      <c r="B141" s="2" t="s">
        <v>499</v>
      </c>
      <c r="C141" s="91" t="s">
        <v>500</v>
      </c>
      <c r="D141" s="88"/>
      <c r="E141" s="2" t="s">
        <v>501</v>
      </c>
      <c r="F141" s="53">
        <v>11</v>
      </c>
      <c r="G141" s="77">
        <v>0</v>
      </c>
      <c r="H141" s="53">
        <f t="shared" si="144"/>
        <v>0</v>
      </c>
      <c r="I141" s="79" t="s">
        <v>1688</v>
      </c>
      <c r="J141" s="49"/>
      <c r="Z141" s="53">
        <f t="shared" si="145"/>
        <v>0</v>
      </c>
      <c r="AB141" s="53">
        <f t="shared" si="146"/>
        <v>0</v>
      </c>
      <c r="AC141" s="53">
        <f t="shared" si="147"/>
        <v>0</v>
      </c>
      <c r="AD141" s="53">
        <f t="shared" si="148"/>
        <v>0</v>
      </c>
      <c r="AE141" s="53">
        <f t="shared" si="149"/>
        <v>0</v>
      </c>
      <c r="AF141" s="53">
        <f t="shared" si="150"/>
        <v>0</v>
      </c>
      <c r="AG141" s="53">
        <f t="shared" si="151"/>
        <v>0</v>
      </c>
      <c r="AH141" s="53">
        <f t="shared" si="152"/>
        <v>0</v>
      </c>
      <c r="AI141" s="36" t="s">
        <v>10</v>
      </c>
      <c r="AJ141" s="53">
        <f t="shared" si="153"/>
        <v>0</v>
      </c>
      <c r="AK141" s="53">
        <f t="shared" si="154"/>
        <v>0</v>
      </c>
      <c r="AL141" s="53">
        <f t="shared" si="155"/>
        <v>0</v>
      </c>
      <c r="AN141" s="53">
        <v>21</v>
      </c>
      <c r="AO141" s="53">
        <f>G141*0.506446811</f>
        <v>0</v>
      </c>
      <c r="AP141" s="53">
        <f>G141*(1-0.506446811)</f>
        <v>0</v>
      </c>
      <c r="AQ141" s="54" t="s">
        <v>134</v>
      </c>
      <c r="AV141" s="53">
        <f t="shared" si="156"/>
        <v>0</v>
      </c>
      <c r="AW141" s="53">
        <f t="shared" si="157"/>
        <v>0</v>
      </c>
      <c r="AX141" s="53">
        <f t="shared" si="158"/>
        <v>0</v>
      </c>
      <c r="AY141" s="54" t="s">
        <v>430</v>
      </c>
      <c r="AZ141" s="54" t="s">
        <v>325</v>
      </c>
      <c r="BA141" s="36" t="s">
        <v>116</v>
      </c>
      <c r="BC141" s="53">
        <f t="shared" si="159"/>
        <v>0</v>
      </c>
      <c r="BD141" s="53">
        <f t="shared" si="160"/>
        <v>0</v>
      </c>
      <c r="BE141" s="53">
        <v>0</v>
      </c>
      <c r="BF141" s="53">
        <f>141</f>
        <v>141</v>
      </c>
      <c r="BH141" s="53">
        <f t="shared" si="161"/>
        <v>0</v>
      </c>
      <c r="BI141" s="53">
        <f t="shared" si="162"/>
        <v>0</v>
      </c>
      <c r="BJ141" s="53">
        <f t="shared" si="163"/>
        <v>0</v>
      </c>
      <c r="BK141" s="54" t="s">
        <v>117</v>
      </c>
      <c r="BL141" s="53">
        <v>722</v>
      </c>
      <c r="BW141" s="53">
        <v>21</v>
      </c>
      <c r="BX141" s="3" t="s">
        <v>500</v>
      </c>
    </row>
    <row r="142" spans="1:76" ht="14.5" x14ac:dyDescent="0.35">
      <c r="A142" s="50" t="s">
        <v>10</v>
      </c>
      <c r="B142" s="51" t="s">
        <v>502</v>
      </c>
      <c r="C142" s="172" t="s">
        <v>503</v>
      </c>
      <c r="D142" s="173"/>
      <c r="E142" s="52" t="s">
        <v>75</v>
      </c>
      <c r="F142" s="52" t="s">
        <v>75</v>
      </c>
      <c r="G142" s="52" t="s">
        <v>75</v>
      </c>
      <c r="H142" s="28">
        <f>SUM(H143:H155)</f>
        <v>0</v>
      </c>
      <c r="I142" s="36" t="s">
        <v>10</v>
      </c>
      <c r="J142" s="49"/>
      <c r="AI142" s="36" t="s">
        <v>10</v>
      </c>
      <c r="AS142" s="28">
        <f>SUM(AJ143:AJ155)</f>
        <v>0</v>
      </c>
      <c r="AT142" s="28">
        <f>SUM(AK143:AK155)</f>
        <v>0</v>
      </c>
      <c r="AU142" s="28">
        <f>SUM(AL143:AL155)</f>
        <v>0</v>
      </c>
    </row>
    <row r="143" spans="1:76" ht="23" x14ac:dyDescent="0.35">
      <c r="A143" s="1" t="s">
        <v>504</v>
      </c>
      <c r="B143" s="2" t="s">
        <v>505</v>
      </c>
      <c r="C143" s="91" t="s">
        <v>506</v>
      </c>
      <c r="D143" s="88"/>
      <c r="E143" s="2" t="s">
        <v>434</v>
      </c>
      <c r="F143" s="53">
        <v>3</v>
      </c>
      <c r="G143" s="77">
        <v>0</v>
      </c>
      <c r="H143" s="53">
        <f t="shared" ref="H143:H155" si="164">ROUND(F143*G143,2)</f>
        <v>0</v>
      </c>
      <c r="I143" s="79" t="s">
        <v>1688</v>
      </c>
      <c r="J143" s="49"/>
      <c r="Z143" s="53">
        <f t="shared" ref="Z143:Z155" si="165">ROUND(IF(AQ143="5",BJ143,0),2)</f>
        <v>0</v>
      </c>
      <c r="AB143" s="53">
        <f t="shared" ref="AB143:AB155" si="166">ROUND(IF(AQ143="1",BH143,0),2)</f>
        <v>0</v>
      </c>
      <c r="AC143" s="53">
        <f t="shared" ref="AC143:AC155" si="167">ROUND(IF(AQ143="1",BI143,0),2)</f>
        <v>0</v>
      </c>
      <c r="AD143" s="53">
        <f t="shared" ref="AD143:AD155" si="168">ROUND(IF(AQ143="7",BH143,0),2)</f>
        <v>0</v>
      </c>
      <c r="AE143" s="53">
        <f t="shared" ref="AE143:AE155" si="169">ROUND(IF(AQ143="7",BI143,0),2)</f>
        <v>0</v>
      </c>
      <c r="AF143" s="53">
        <f t="shared" ref="AF143:AF155" si="170">ROUND(IF(AQ143="2",BH143,0),2)</f>
        <v>0</v>
      </c>
      <c r="AG143" s="53">
        <f t="shared" ref="AG143:AG155" si="171">ROUND(IF(AQ143="2",BI143,0),2)</f>
        <v>0</v>
      </c>
      <c r="AH143" s="53">
        <f t="shared" ref="AH143:AH155" si="172">ROUND(IF(AQ143="0",BJ143,0),2)</f>
        <v>0</v>
      </c>
      <c r="AI143" s="36" t="s">
        <v>10</v>
      </c>
      <c r="AJ143" s="53">
        <f t="shared" ref="AJ143:AJ155" si="173">IF(AN143=0,H143,0)</f>
        <v>0</v>
      </c>
      <c r="AK143" s="53">
        <f t="shared" ref="AK143:AK155" si="174">IF(AN143=12,H143,0)</f>
        <v>0</v>
      </c>
      <c r="AL143" s="53">
        <f t="shared" ref="AL143:AL155" si="175">IF(AN143=21,H143,0)</f>
        <v>0</v>
      </c>
      <c r="AN143" s="53">
        <v>21</v>
      </c>
      <c r="AO143" s="53">
        <f>G143*0.625009363</f>
        <v>0</v>
      </c>
      <c r="AP143" s="53">
        <f>G143*(1-0.625009363)</f>
        <v>0</v>
      </c>
      <c r="AQ143" s="54" t="s">
        <v>134</v>
      </c>
      <c r="AV143" s="53">
        <f t="shared" ref="AV143:AV155" si="176">ROUND(AW143+AX143,2)</f>
        <v>0</v>
      </c>
      <c r="AW143" s="53">
        <f t="shared" ref="AW143:AW155" si="177">ROUND(F143*AO143,2)</f>
        <v>0</v>
      </c>
      <c r="AX143" s="53">
        <f t="shared" ref="AX143:AX155" si="178">ROUND(F143*AP143,2)</f>
        <v>0</v>
      </c>
      <c r="AY143" s="54" t="s">
        <v>507</v>
      </c>
      <c r="AZ143" s="54" t="s">
        <v>325</v>
      </c>
      <c r="BA143" s="36" t="s">
        <v>116</v>
      </c>
      <c r="BC143" s="53">
        <f t="shared" ref="BC143:BC155" si="179">AW143+AX143</f>
        <v>0</v>
      </c>
      <c r="BD143" s="53">
        <f t="shared" ref="BD143:BD155" si="180">G143/(100-BE143)*100</f>
        <v>0</v>
      </c>
      <c r="BE143" s="53">
        <v>0</v>
      </c>
      <c r="BF143" s="53">
        <f>143</f>
        <v>143</v>
      </c>
      <c r="BH143" s="53">
        <f t="shared" ref="BH143:BH155" si="181">F143*AO143</f>
        <v>0</v>
      </c>
      <c r="BI143" s="53">
        <f t="shared" ref="BI143:BI155" si="182">F143*AP143</f>
        <v>0</v>
      </c>
      <c r="BJ143" s="53">
        <f t="shared" ref="BJ143:BJ155" si="183">F143*G143</f>
        <v>0</v>
      </c>
      <c r="BK143" s="54" t="s">
        <v>117</v>
      </c>
      <c r="BL143" s="53">
        <v>725</v>
      </c>
      <c r="BW143" s="53">
        <v>21</v>
      </c>
      <c r="BX143" s="3" t="s">
        <v>506</v>
      </c>
    </row>
    <row r="144" spans="1:76" ht="23" x14ac:dyDescent="0.35">
      <c r="A144" s="1" t="s">
        <v>508</v>
      </c>
      <c r="B144" s="2" t="s">
        <v>509</v>
      </c>
      <c r="C144" s="91" t="s">
        <v>510</v>
      </c>
      <c r="D144" s="88"/>
      <c r="E144" s="2" t="s">
        <v>121</v>
      </c>
      <c r="F144" s="53">
        <v>8</v>
      </c>
      <c r="G144" s="77">
        <v>0</v>
      </c>
      <c r="H144" s="53">
        <f t="shared" si="164"/>
        <v>0</v>
      </c>
      <c r="I144" s="79" t="s">
        <v>1688</v>
      </c>
      <c r="J144" s="49"/>
      <c r="Z144" s="53">
        <f t="shared" si="165"/>
        <v>0</v>
      </c>
      <c r="AB144" s="53">
        <f t="shared" si="166"/>
        <v>0</v>
      </c>
      <c r="AC144" s="53">
        <f t="shared" si="167"/>
        <v>0</v>
      </c>
      <c r="AD144" s="53">
        <f t="shared" si="168"/>
        <v>0</v>
      </c>
      <c r="AE144" s="53">
        <f t="shared" si="169"/>
        <v>0</v>
      </c>
      <c r="AF144" s="53">
        <f t="shared" si="170"/>
        <v>0</v>
      </c>
      <c r="AG144" s="53">
        <f t="shared" si="171"/>
        <v>0</v>
      </c>
      <c r="AH144" s="53">
        <f t="shared" si="172"/>
        <v>0</v>
      </c>
      <c r="AI144" s="36" t="s">
        <v>10</v>
      </c>
      <c r="AJ144" s="53">
        <f t="shared" si="173"/>
        <v>0</v>
      </c>
      <c r="AK144" s="53">
        <f t="shared" si="174"/>
        <v>0</v>
      </c>
      <c r="AL144" s="53">
        <f t="shared" si="175"/>
        <v>0</v>
      </c>
      <c r="AN144" s="53">
        <v>21</v>
      </c>
      <c r="AO144" s="53">
        <f>G144*0.44823099</f>
        <v>0</v>
      </c>
      <c r="AP144" s="53">
        <f>G144*(1-0.44823099)</f>
        <v>0</v>
      </c>
      <c r="AQ144" s="54" t="s">
        <v>134</v>
      </c>
      <c r="AV144" s="53">
        <f t="shared" si="176"/>
        <v>0</v>
      </c>
      <c r="AW144" s="53">
        <f t="shared" si="177"/>
        <v>0</v>
      </c>
      <c r="AX144" s="53">
        <f t="shared" si="178"/>
        <v>0</v>
      </c>
      <c r="AY144" s="54" t="s">
        <v>507</v>
      </c>
      <c r="AZ144" s="54" t="s">
        <v>325</v>
      </c>
      <c r="BA144" s="36" t="s">
        <v>116</v>
      </c>
      <c r="BC144" s="53">
        <f t="shared" si="179"/>
        <v>0</v>
      </c>
      <c r="BD144" s="53">
        <f t="shared" si="180"/>
        <v>0</v>
      </c>
      <c r="BE144" s="53">
        <v>0</v>
      </c>
      <c r="BF144" s="53">
        <f>144</f>
        <v>144</v>
      </c>
      <c r="BH144" s="53">
        <f t="shared" si="181"/>
        <v>0</v>
      </c>
      <c r="BI144" s="53">
        <f t="shared" si="182"/>
        <v>0</v>
      </c>
      <c r="BJ144" s="53">
        <f t="shared" si="183"/>
        <v>0</v>
      </c>
      <c r="BK144" s="54" t="s">
        <v>117</v>
      </c>
      <c r="BL144" s="53">
        <v>725</v>
      </c>
      <c r="BW144" s="53">
        <v>21</v>
      </c>
      <c r="BX144" s="3" t="s">
        <v>510</v>
      </c>
    </row>
    <row r="145" spans="1:76" ht="23" x14ac:dyDescent="0.35">
      <c r="A145" s="1" t="s">
        <v>511</v>
      </c>
      <c r="B145" s="2" t="s">
        <v>512</v>
      </c>
      <c r="C145" s="91" t="s">
        <v>513</v>
      </c>
      <c r="D145" s="88"/>
      <c r="E145" s="2" t="s">
        <v>414</v>
      </c>
      <c r="F145" s="53">
        <v>22</v>
      </c>
      <c r="G145" s="77">
        <v>0</v>
      </c>
      <c r="H145" s="53">
        <f t="shared" si="164"/>
        <v>0</v>
      </c>
      <c r="I145" s="79" t="s">
        <v>1688</v>
      </c>
      <c r="J145" s="49"/>
      <c r="Z145" s="53">
        <f t="shared" si="165"/>
        <v>0</v>
      </c>
      <c r="AB145" s="53">
        <f t="shared" si="166"/>
        <v>0</v>
      </c>
      <c r="AC145" s="53">
        <f t="shared" si="167"/>
        <v>0</v>
      </c>
      <c r="AD145" s="53">
        <f t="shared" si="168"/>
        <v>0</v>
      </c>
      <c r="AE145" s="53">
        <f t="shared" si="169"/>
        <v>0</v>
      </c>
      <c r="AF145" s="53">
        <f t="shared" si="170"/>
        <v>0</v>
      </c>
      <c r="AG145" s="53">
        <f t="shared" si="171"/>
        <v>0</v>
      </c>
      <c r="AH145" s="53">
        <f t="shared" si="172"/>
        <v>0</v>
      </c>
      <c r="AI145" s="36" t="s">
        <v>10</v>
      </c>
      <c r="AJ145" s="53">
        <f t="shared" si="173"/>
        <v>0</v>
      </c>
      <c r="AK145" s="53">
        <f t="shared" si="174"/>
        <v>0</v>
      </c>
      <c r="AL145" s="53">
        <f t="shared" si="175"/>
        <v>0</v>
      </c>
      <c r="AN145" s="53">
        <v>21</v>
      </c>
      <c r="AO145" s="53">
        <f>G145*0.888782324</f>
        <v>0</v>
      </c>
      <c r="AP145" s="53">
        <f>G145*(1-0.888782324)</f>
        <v>0</v>
      </c>
      <c r="AQ145" s="54" t="s">
        <v>134</v>
      </c>
      <c r="AV145" s="53">
        <f t="shared" si="176"/>
        <v>0</v>
      </c>
      <c r="AW145" s="53">
        <f t="shared" si="177"/>
        <v>0</v>
      </c>
      <c r="AX145" s="53">
        <f t="shared" si="178"/>
        <v>0</v>
      </c>
      <c r="AY145" s="54" t="s">
        <v>507</v>
      </c>
      <c r="AZ145" s="54" t="s">
        <v>325</v>
      </c>
      <c r="BA145" s="36" t="s">
        <v>116</v>
      </c>
      <c r="BC145" s="53">
        <f t="shared" si="179"/>
        <v>0</v>
      </c>
      <c r="BD145" s="53">
        <f t="shared" si="180"/>
        <v>0</v>
      </c>
      <c r="BE145" s="53">
        <v>0</v>
      </c>
      <c r="BF145" s="53">
        <f>145</f>
        <v>145</v>
      </c>
      <c r="BH145" s="53">
        <f t="shared" si="181"/>
        <v>0</v>
      </c>
      <c r="BI145" s="53">
        <f t="shared" si="182"/>
        <v>0</v>
      </c>
      <c r="BJ145" s="53">
        <f t="shared" si="183"/>
        <v>0</v>
      </c>
      <c r="BK145" s="54" t="s">
        <v>117</v>
      </c>
      <c r="BL145" s="53">
        <v>725</v>
      </c>
      <c r="BW145" s="53">
        <v>21</v>
      </c>
      <c r="BX145" s="3" t="s">
        <v>513</v>
      </c>
    </row>
    <row r="146" spans="1:76" ht="23" x14ac:dyDescent="0.35">
      <c r="A146" s="1" t="s">
        <v>514</v>
      </c>
      <c r="B146" s="2" t="s">
        <v>515</v>
      </c>
      <c r="C146" s="91" t="s">
        <v>516</v>
      </c>
      <c r="D146" s="88"/>
      <c r="E146" s="2" t="s">
        <v>414</v>
      </c>
      <c r="F146" s="53">
        <v>33</v>
      </c>
      <c r="G146" s="77">
        <v>0</v>
      </c>
      <c r="H146" s="53">
        <f t="shared" si="164"/>
        <v>0</v>
      </c>
      <c r="I146" s="79" t="s">
        <v>1688</v>
      </c>
      <c r="J146" s="49"/>
      <c r="Z146" s="53">
        <f t="shared" si="165"/>
        <v>0</v>
      </c>
      <c r="AB146" s="53">
        <f t="shared" si="166"/>
        <v>0</v>
      </c>
      <c r="AC146" s="53">
        <f t="shared" si="167"/>
        <v>0</v>
      </c>
      <c r="AD146" s="53">
        <f t="shared" si="168"/>
        <v>0</v>
      </c>
      <c r="AE146" s="53">
        <f t="shared" si="169"/>
        <v>0</v>
      </c>
      <c r="AF146" s="53">
        <f t="shared" si="170"/>
        <v>0</v>
      </c>
      <c r="AG146" s="53">
        <f t="shared" si="171"/>
        <v>0</v>
      </c>
      <c r="AH146" s="53">
        <f t="shared" si="172"/>
        <v>0</v>
      </c>
      <c r="AI146" s="36" t="s">
        <v>10</v>
      </c>
      <c r="AJ146" s="53">
        <f t="shared" si="173"/>
        <v>0</v>
      </c>
      <c r="AK146" s="53">
        <f t="shared" si="174"/>
        <v>0</v>
      </c>
      <c r="AL146" s="53">
        <f t="shared" si="175"/>
        <v>0</v>
      </c>
      <c r="AN146" s="53">
        <v>21</v>
      </c>
      <c r="AO146" s="53">
        <f>G146*0.428910357</f>
        <v>0</v>
      </c>
      <c r="AP146" s="53">
        <f>G146*(1-0.428910357)</f>
        <v>0</v>
      </c>
      <c r="AQ146" s="54" t="s">
        <v>134</v>
      </c>
      <c r="AV146" s="53">
        <f t="shared" si="176"/>
        <v>0</v>
      </c>
      <c r="AW146" s="53">
        <f t="shared" si="177"/>
        <v>0</v>
      </c>
      <c r="AX146" s="53">
        <f t="shared" si="178"/>
        <v>0</v>
      </c>
      <c r="AY146" s="54" t="s">
        <v>507</v>
      </c>
      <c r="AZ146" s="54" t="s">
        <v>325</v>
      </c>
      <c r="BA146" s="36" t="s">
        <v>116</v>
      </c>
      <c r="BC146" s="53">
        <f t="shared" si="179"/>
        <v>0</v>
      </c>
      <c r="BD146" s="53">
        <f t="shared" si="180"/>
        <v>0</v>
      </c>
      <c r="BE146" s="53">
        <v>0</v>
      </c>
      <c r="BF146" s="53">
        <f>146</f>
        <v>146</v>
      </c>
      <c r="BH146" s="53">
        <f t="shared" si="181"/>
        <v>0</v>
      </c>
      <c r="BI146" s="53">
        <f t="shared" si="182"/>
        <v>0</v>
      </c>
      <c r="BJ146" s="53">
        <f t="shared" si="183"/>
        <v>0</v>
      </c>
      <c r="BK146" s="54" t="s">
        <v>117</v>
      </c>
      <c r="BL146" s="53">
        <v>725</v>
      </c>
      <c r="BW146" s="53">
        <v>21</v>
      </c>
      <c r="BX146" s="3" t="s">
        <v>516</v>
      </c>
    </row>
    <row r="147" spans="1:76" ht="23" x14ac:dyDescent="0.35">
      <c r="A147" s="1" t="s">
        <v>517</v>
      </c>
      <c r="B147" s="2" t="s">
        <v>518</v>
      </c>
      <c r="C147" s="91" t="s">
        <v>519</v>
      </c>
      <c r="D147" s="88"/>
      <c r="E147" s="2" t="s">
        <v>414</v>
      </c>
      <c r="F147" s="53">
        <v>4</v>
      </c>
      <c r="G147" s="77">
        <v>0</v>
      </c>
      <c r="H147" s="53">
        <f t="shared" si="164"/>
        <v>0</v>
      </c>
      <c r="I147" s="79" t="s">
        <v>1688</v>
      </c>
      <c r="J147" s="49"/>
      <c r="Z147" s="53">
        <f t="shared" si="165"/>
        <v>0</v>
      </c>
      <c r="AB147" s="53">
        <f t="shared" si="166"/>
        <v>0</v>
      </c>
      <c r="AC147" s="53">
        <f t="shared" si="167"/>
        <v>0</v>
      </c>
      <c r="AD147" s="53">
        <f t="shared" si="168"/>
        <v>0</v>
      </c>
      <c r="AE147" s="53">
        <f t="shared" si="169"/>
        <v>0</v>
      </c>
      <c r="AF147" s="53">
        <f t="shared" si="170"/>
        <v>0</v>
      </c>
      <c r="AG147" s="53">
        <f t="shared" si="171"/>
        <v>0</v>
      </c>
      <c r="AH147" s="53">
        <f t="shared" si="172"/>
        <v>0</v>
      </c>
      <c r="AI147" s="36" t="s">
        <v>10</v>
      </c>
      <c r="AJ147" s="53">
        <f t="shared" si="173"/>
        <v>0</v>
      </c>
      <c r="AK147" s="53">
        <f t="shared" si="174"/>
        <v>0</v>
      </c>
      <c r="AL147" s="53">
        <f t="shared" si="175"/>
        <v>0</v>
      </c>
      <c r="AN147" s="53">
        <v>21</v>
      </c>
      <c r="AO147" s="53">
        <f>G147*0.844024933</f>
        <v>0</v>
      </c>
      <c r="AP147" s="53">
        <f>G147*(1-0.844024933)</f>
        <v>0</v>
      </c>
      <c r="AQ147" s="54" t="s">
        <v>134</v>
      </c>
      <c r="AV147" s="53">
        <f t="shared" si="176"/>
        <v>0</v>
      </c>
      <c r="AW147" s="53">
        <f t="shared" si="177"/>
        <v>0</v>
      </c>
      <c r="AX147" s="53">
        <f t="shared" si="178"/>
        <v>0</v>
      </c>
      <c r="AY147" s="54" t="s">
        <v>507</v>
      </c>
      <c r="AZ147" s="54" t="s">
        <v>325</v>
      </c>
      <c r="BA147" s="36" t="s">
        <v>116</v>
      </c>
      <c r="BC147" s="53">
        <f t="shared" si="179"/>
        <v>0</v>
      </c>
      <c r="BD147" s="53">
        <f t="shared" si="180"/>
        <v>0</v>
      </c>
      <c r="BE147" s="53">
        <v>0</v>
      </c>
      <c r="BF147" s="53">
        <f>147</f>
        <v>147</v>
      </c>
      <c r="BH147" s="53">
        <f t="shared" si="181"/>
        <v>0</v>
      </c>
      <c r="BI147" s="53">
        <f t="shared" si="182"/>
        <v>0</v>
      </c>
      <c r="BJ147" s="53">
        <f t="shared" si="183"/>
        <v>0</v>
      </c>
      <c r="BK147" s="54" t="s">
        <v>117</v>
      </c>
      <c r="BL147" s="53">
        <v>725</v>
      </c>
      <c r="BW147" s="53">
        <v>21</v>
      </c>
      <c r="BX147" s="3" t="s">
        <v>519</v>
      </c>
    </row>
    <row r="148" spans="1:76" ht="35" customHeight="1" x14ac:dyDescent="0.35">
      <c r="A148" s="1" t="s">
        <v>520</v>
      </c>
      <c r="B148" s="2" t="s">
        <v>521</v>
      </c>
      <c r="C148" s="91" t="s">
        <v>522</v>
      </c>
      <c r="D148" s="88"/>
      <c r="E148" s="2" t="s">
        <v>434</v>
      </c>
      <c r="F148" s="53">
        <v>5</v>
      </c>
      <c r="G148" s="77">
        <v>0</v>
      </c>
      <c r="H148" s="53">
        <f t="shared" si="164"/>
        <v>0</v>
      </c>
      <c r="I148" s="79" t="s">
        <v>1688</v>
      </c>
      <c r="J148" s="49"/>
      <c r="Z148" s="53">
        <f t="shared" si="165"/>
        <v>0</v>
      </c>
      <c r="AB148" s="53">
        <f t="shared" si="166"/>
        <v>0</v>
      </c>
      <c r="AC148" s="53">
        <f t="shared" si="167"/>
        <v>0</v>
      </c>
      <c r="AD148" s="53">
        <f t="shared" si="168"/>
        <v>0</v>
      </c>
      <c r="AE148" s="53">
        <f t="shared" si="169"/>
        <v>0</v>
      </c>
      <c r="AF148" s="53">
        <f t="shared" si="170"/>
        <v>0</v>
      </c>
      <c r="AG148" s="53">
        <f t="shared" si="171"/>
        <v>0</v>
      </c>
      <c r="AH148" s="53">
        <f t="shared" si="172"/>
        <v>0</v>
      </c>
      <c r="AI148" s="36" t="s">
        <v>10</v>
      </c>
      <c r="AJ148" s="53">
        <f t="shared" si="173"/>
        <v>0</v>
      </c>
      <c r="AK148" s="53">
        <f t="shared" si="174"/>
        <v>0</v>
      </c>
      <c r="AL148" s="53">
        <f t="shared" si="175"/>
        <v>0</v>
      </c>
      <c r="AN148" s="53">
        <v>21</v>
      </c>
      <c r="AO148" s="53">
        <f>G148*0.745109936</f>
        <v>0</v>
      </c>
      <c r="AP148" s="53">
        <f>G148*(1-0.745109936)</f>
        <v>0</v>
      </c>
      <c r="AQ148" s="54" t="s">
        <v>134</v>
      </c>
      <c r="AV148" s="53">
        <f t="shared" si="176"/>
        <v>0</v>
      </c>
      <c r="AW148" s="53">
        <f t="shared" si="177"/>
        <v>0</v>
      </c>
      <c r="AX148" s="53">
        <f t="shared" si="178"/>
        <v>0</v>
      </c>
      <c r="AY148" s="54" t="s">
        <v>507</v>
      </c>
      <c r="AZ148" s="54" t="s">
        <v>325</v>
      </c>
      <c r="BA148" s="36" t="s">
        <v>116</v>
      </c>
      <c r="BC148" s="53">
        <f t="shared" si="179"/>
        <v>0</v>
      </c>
      <c r="BD148" s="53">
        <f t="shared" si="180"/>
        <v>0</v>
      </c>
      <c r="BE148" s="53">
        <v>0</v>
      </c>
      <c r="BF148" s="53">
        <f>148</f>
        <v>148</v>
      </c>
      <c r="BH148" s="53">
        <f t="shared" si="181"/>
        <v>0</v>
      </c>
      <c r="BI148" s="53">
        <f t="shared" si="182"/>
        <v>0</v>
      </c>
      <c r="BJ148" s="53">
        <f t="shared" si="183"/>
        <v>0</v>
      </c>
      <c r="BK148" s="54" t="s">
        <v>117</v>
      </c>
      <c r="BL148" s="53">
        <v>725</v>
      </c>
      <c r="BW148" s="53">
        <v>21</v>
      </c>
      <c r="BX148" s="3" t="s">
        <v>522</v>
      </c>
    </row>
    <row r="149" spans="1:76" ht="23" x14ac:dyDescent="0.35">
      <c r="A149" s="1" t="s">
        <v>523</v>
      </c>
      <c r="B149" s="2" t="s">
        <v>524</v>
      </c>
      <c r="C149" s="91" t="s">
        <v>525</v>
      </c>
      <c r="D149" s="88"/>
      <c r="E149" s="2" t="s">
        <v>434</v>
      </c>
      <c r="F149" s="53">
        <v>3</v>
      </c>
      <c r="G149" s="77">
        <v>0</v>
      </c>
      <c r="H149" s="53">
        <f t="shared" si="164"/>
        <v>0</v>
      </c>
      <c r="I149" s="79" t="s">
        <v>1688</v>
      </c>
      <c r="J149" s="49"/>
      <c r="Z149" s="53">
        <f t="shared" si="165"/>
        <v>0</v>
      </c>
      <c r="AB149" s="53">
        <f t="shared" si="166"/>
        <v>0</v>
      </c>
      <c r="AC149" s="53">
        <f t="shared" si="167"/>
        <v>0</v>
      </c>
      <c r="AD149" s="53">
        <f t="shared" si="168"/>
        <v>0</v>
      </c>
      <c r="AE149" s="53">
        <f t="shared" si="169"/>
        <v>0</v>
      </c>
      <c r="AF149" s="53">
        <f t="shared" si="170"/>
        <v>0</v>
      </c>
      <c r="AG149" s="53">
        <f t="shared" si="171"/>
        <v>0</v>
      </c>
      <c r="AH149" s="53">
        <f t="shared" si="172"/>
        <v>0</v>
      </c>
      <c r="AI149" s="36" t="s">
        <v>10</v>
      </c>
      <c r="AJ149" s="53">
        <f t="shared" si="173"/>
        <v>0</v>
      </c>
      <c r="AK149" s="53">
        <f t="shared" si="174"/>
        <v>0</v>
      </c>
      <c r="AL149" s="53">
        <f t="shared" si="175"/>
        <v>0</v>
      </c>
      <c r="AN149" s="53">
        <v>21</v>
      </c>
      <c r="AO149" s="53">
        <f>G149*0.77359761</f>
        <v>0</v>
      </c>
      <c r="AP149" s="53">
        <f>G149*(1-0.77359761)</f>
        <v>0</v>
      </c>
      <c r="AQ149" s="54" t="s">
        <v>134</v>
      </c>
      <c r="AV149" s="53">
        <f t="shared" si="176"/>
        <v>0</v>
      </c>
      <c r="AW149" s="53">
        <f t="shared" si="177"/>
        <v>0</v>
      </c>
      <c r="AX149" s="53">
        <f t="shared" si="178"/>
        <v>0</v>
      </c>
      <c r="AY149" s="54" t="s">
        <v>507</v>
      </c>
      <c r="AZ149" s="54" t="s">
        <v>325</v>
      </c>
      <c r="BA149" s="36" t="s">
        <v>116</v>
      </c>
      <c r="BC149" s="53">
        <f t="shared" si="179"/>
        <v>0</v>
      </c>
      <c r="BD149" s="53">
        <f t="shared" si="180"/>
        <v>0</v>
      </c>
      <c r="BE149" s="53">
        <v>0</v>
      </c>
      <c r="BF149" s="53">
        <f>149</f>
        <v>149</v>
      </c>
      <c r="BH149" s="53">
        <f t="shared" si="181"/>
        <v>0</v>
      </c>
      <c r="BI149" s="53">
        <f t="shared" si="182"/>
        <v>0</v>
      </c>
      <c r="BJ149" s="53">
        <f t="shared" si="183"/>
        <v>0</v>
      </c>
      <c r="BK149" s="54" t="s">
        <v>117</v>
      </c>
      <c r="BL149" s="53">
        <v>725</v>
      </c>
      <c r="BW149" s="53">
        <v>21</v>
      </c>
      <c r="BX149" s="3" t="s">
        <v>525</v>
      </c>
    </row>
    <row r="150" spans="1:76" ht="23" x14ac:dyDescent="0.35">
      <c r="A150" s="1" t="s">
        <v>526</v>
      </c>
      <c r="B150" s="2" t="s">
        <v>527</v>
      </c>
      <c r="C150" s="91" t="s">
        <v>528</v>
      </c>
      <c r="D150" s="88"/>
      <c r="E150" s="2" t="s">
        <v>414</v>
      </c>
      <c r="F150" s="53">
        <v>3</v>
      </c>
      <c r="G150" s="77">
        <v>0</v>
      </c>
      <c r="H150" s="53">
        <f t="shared" si="164"/>
        <v>0</v>
      </c>
      <c r="I150" s="79" t="s">
        <v>1688</v>
      </c>
      <c r="J150" s="49"/>
      <c r="Z150" s="53">
        <f t="shared" si="165"/>
        <v>0</v>
      </c>
      <c r="AB150" s="53">
        <f t="shared" si="166"/>
        <v>0</v>
      </c>
      <c r="AC150" s="53">
        <f t="shared" si="167"/>
        <v>0</v>
      </c>
      <c r="AD150" s="53">
        <f t="shared" si="168"/>
        <v>0</v>
      </c>
      <c r="AE150" s="53">
        <f t="shared" si="169"/>
        <v>0</v>
      </c>
      <c r="AF150" s="53">
        <f t="shared" si="170"/>
        <v>0</v>
      </c>
      <c r="AG150" s="53">
        <f t="shared" si="171"/>
        <v>0</v>
      </c>
      <c r="AH150" s="53">
        <f t="shared" si="172"/>
        <v>0</v>
      </c>
      <c r="AI150" s="36" t="s">
        <v>10</v>
      </c>
      <c r="AJ150" s="53">
        <f t="shared" si="173"/>
        <v>0</v>
      </c>
      <c r="AK150" s="53">
        <f t="shared" si="174"/>
        <v>0</v>
      </c>
      <c r="AL150" s="53">
        <f t="shared" si="175"/>
        <v>0</v>
      </c>
      <c r="AN150" s="53">
        <v>21</v>
      </c>
      <c r="AO150" s="53">
        <f>G150*0.828397084</f>
        <v>0</v>
      </c>
      <c r="AP150" s="53">
        <f>G150*(1-0.828397084)</f>
        <v>0</v>
      </c>
      <c r="AQ150" s="54" t="s">
        <v>134</v>
      </c>
      <c r="AV150" s="53">
        <f t="shared" si="176"/>
        <v>0</v>
      </c>
      <c r="AW150" s="53">
        <f t="shared" si="177"/>
        <v>0</v>
      </c>
      <c r="AX150" s="53">
        <f t="shared" si="178"/>
        <v>0</v>
      </c>
      <c r="AY150" s="54" t="s">
        <v>507</v>
      </c>
      <c r="AZ150" s="54" t="s">
        <v>325</v>
      </c>
      <c r="BA150" s="36" t="s">
        <v>116</v>
      </c>
      <c r="BC150" s="53">
        <f t="shared" si="179"/>
        <v>0</v>
      </c>
      <c r="BD150" s="53">
        <f t="shared" si="180"/>
        <v>0</v>
      </c>
      <c r="BE150" s="53">
        <v>0</v>
      </c>
      <c r="BF150" s="53">
        <f>150</f>
        <v>150</v>
      </c>
      <c r="BH150" s="53">
        <f t="shared" si="181"/>
        <v>0</v>
      </c>
      <c r="BI150" s="53">
        <f t="shared" si="182"/>
        <v>0</v>
      </c>
      <c r="BJ150" s="53">
        <f t="shared" si="183"/>
        <v>0</v>
      </c>
      <c r="BK150" s="54" t="s">
        <v>117</v>
      </c>
      <c r="BL150" s="53">
        <v>725</v>
      </c>
      <c r="BW150" s="53">
        <v>21</v>
      </c>
      <c r="BX150" s="3" t="s">
        <v>528</v>
      </c>
    </row>
    <row r="151" spans="1:76" ht="23" x14ac:dyDescent="0.35">
      <c r="A151" s="1" t="s">
        <v>529</v>
      </c>
      <c r="B151" s="2" t="s">
        <v>530</v>
      </c>
      <c r="C151" s="91" t="s">
        <v>531</v>
      </c>
      <c r="D151" s="88"/>
      <c r="E151" s="2" t="s">
        <v>121</v>
      </c>
      <c r="F151" s="53">
        <v>3</v>
      </c>
      <c r="G151" s="77">
        <v>0</v>
      </c>
      <c r="H151" s="53">
        <f t="shared" si="164"/>
        <v>0</v>
      </c>
      <c r="I151" s="79" t="s">
        <v>1688</v>
      </c>
      <c r="J151" s="49"/>
      <c r="Z151" s="53">
        <f t="shared" si="165"/>
        <v>0</v>
      </c>
      <c r="AB151" s="53">
        <f t="shared" si="166"/>
        <v>0</v>
      </c>
      <c r="AC151" s="53">
        <f t="shared" si="167"/>
        <v>0</v>
      </c>
      <c r="AD151" s="53">
        <f t="shared" si="168"/>
        <v>0</v>
      </c>
      <c r="AE151" s="53">
        <f t="shared" si="169"/>
        <v>0</v>
      </c>
      <c r="AF151" s="53">
        <f t="shared" si="170"/>
        <v>0</v>
      </c>
      <c r="AG151" s="53">
        <f t="shared" si="171"/>
        <v>0</v>
      </c>
      <c r="AH151" s="53">
        <f t="shared" si="172"/>
        <v>0</v>
      </c>
      <c r="AI151" s="36" t="s">
        <v>10</v>
      </c>
      <c r="AJ151" s="53">
        <f t="shared" si="173"/>
        <v>0</v>
      </c>
      <c r="AK151" s="53">
        <f t="shared" si="174"/>
        <v>0</v>
      </c>
      <c r="AL151" s="53">
        <f t="shared" si="175"/>
        <v>0</v>
      </c>
      <c r="AN151" s="53">
        <v>21</v>
      </c>
      <c r="AO151" s="53">
        <f>G151*0.887692825</f>
        <v>0</v>
      </c>
      <c r="AP151" s="53">
        <f>G151*(1-0.887692825)</f>
        <v>0</v>
      </c>
      <c r="AQ151" s="54" t="s">
        <v>134</v>
      </c>
      <c r="AV151" s="53">
        <f t="shared" si="176"/>
        <v>0</v>
      </c>
      <c r="AW151" s="53">
        <f t="shared" si="177"/>
        <v>0</v>
      </c>
      <c r="AX151" s="53">
        <f t="shared" si="178"/>
        <v>0</v>
      </c>
      <c r="AY151" s="54" t="s">
        <v>507</v>
      </c>
      <c r="AZ151" s="54" t="s">
        <v>325</v>
      </c>
      <c r="BA151" s="36" t="s">
        <v>116</v>
      </c>
      <c r="BC151" s="53">
        <f t="shared" si="179"/>
        <v>0</v>
      </c>
      <c r="BD151" s="53">
        <f t="shared" si="180"/>
        <v>0</v>
      </c>
      <c r="BE151" s="53">
        <v>0</v>
      </c>
      <c r="BF151" s="53">
        <f>151</f>
        <v>151</v>
      </c>
      <c r="BH151" s="53">
        <f t="shared" si="181"/>
        <v>0</v>
      </c>
      <c r="BI151" s="53">
        <f t="shared" si="182"/>
        <v>0</v>
      </c>
      <c r="BJ151" s="53">
        <f t="shared" si="183"/>
        <v>0</v>
      </c>
      <c r="BK151" s="54" t="s">
        <v>117</v>
      </c>
      <c r="BL151" s="53">
        <v>725</v>
      </c>
      <c r="BW151" s="53">
        <v>21</v>
      </c>
      <c r="BX151" s="3" t="s">
        <v>531</v>
      </c>
    </row>
    <row r="152" spans="1:76" ht="23" x14ac:dyDescent="0.35">
      <c r="A152" s="1" t="s">
        <v>532</v>
      </c>
      <c r="B152" s="2" t="s">
        <v>533</v>
      </c>
      <c r="C152" s="91" t="s">
        <v>534</v>
      </c>
      <c r="D152" s="88"/>
      <c r="E152" s="2" t="s">
        <v>121</v>
      </c>
      <c r="F152" s="53">
        <v>5</v>
      </c>
      <c r="G152" s="77">
        <v>0</v>
      </c>
      <c r="H152" s="53">
        <f t="shared" si="164"/>
        <v>0</v>
      </c>
      <c r="I152" s="79" t="s">
        <v>1688</v>
      </c>
      <c r="J152" s="49"/>
      <c r="Z152" s="53">
        <f t="shared" si="165"/>
        <v>0</v>
      </c>
      <c r="AB152" s="53">
        <f t="shared" si="166"/>
        <v>0</v>
      </c>
      <c r="AC152" s="53">
        <f t="shared" si="167"/>
        <v>0</v>
      </c>
      <c r="AD152" s="53">
        <f t="shared" si="168"/>
        <v>0</v>
      </c>
      <c r="AE152" s="53">
        <f t="shared" si="169"/>
        <v>0</v>
      </c>
      <c r="AF152" s="53">
        <f t="shared" si="170"/>
        <v>0</v>
      </c>
      <c r="AG152" s="53">
        <f t="shared" si="171"/>
        <v>0</v>
      </c>
      <c r="AH152" s="53">
        <f t="shared" si="172"/>
        <v>0</v>
      </c>
      <c r="AI152" s="36" t="s">
        <v>10</v>
      </c>
      <c r="AJ152" s="53">
        <f t="shared" si="173"/>
        <v>0</v>
      </c>
      <c r="AK152" s="53">
        <f t="shared" si="174"/>
        <v>0</v>
      </c>
      <c r="AL152" s="53">
        <f t="shared" si="175"/>
        <v>0</v>
      </c>
      <c r="AN152" s="53">
        <v>21</v>
      </c>
      <c r="AO152" s="53">
        <f>G152*0.918539157</f>
        <v>0</v>
      </c>
      <c r="AP152" s="53">
        <f>G152*(1-0.918539157)</f>
        <v>0</v>
      </c>
      <c r="AQ152" s="54" t="s">
        <v>134</v>
      </c>
      <c r="AV152" s="53">
        <f t="shared" si="176"/>
        <v>0</v>
      </c>
      <c r="AW152" s="53">
        <f t="shared" si="177"/>
        <v>0</v>
      </c>
      <c r="AX152" s="53">
        <f t="shared" si="178"/>
        <v>0</v>
      </c>
      <c r="AY152" s="54" t="s">
        <v>507</v>
      </c>
      <c r="AZ152" s="54" t="s">
        <v>325</v>
      </c>
      <c r="BA152" s="36" t="s">
        <v>116</v>
      </c>
      <c r="BC152" s="53">
        <f t="shared" si="179"/>
        <v>0</v>
      </c>
      <c r="BD152" s="53">
        <f t="shared" si="180"/>
        <v>0</v>
      </c>
      <c r="BE152" s="53">
        <v>0</v>
      </c>
      <c r="BF152" s="53">
        <f>152</f>
        <v>152</v>
      </c>
      <c r="BH152" s="53">
        <f t="shared" si="181"/>
        <v>0</v>
      </c>
      <c r="BI152" s="53">
        <f t="shared" si="182"/>
        <v>0</v>
      </c>
      <c r="BJ152" s="53">
        <f t="shared" si="183"/>
        <v>0</v>
      </c>
      <c r="BK152" s="54" t="s">
        <v>117</v>
      </c>
      <c r="BL152" s="53">
        <v>725</v>
      </c>
      <c r="BW152" s="53">
        <v>21</v>
      </c>
      <c r="BX152" s="3" t="s">
        <v>534</v>
      </c>
    </row>
    <row r="153" spans="1:76" ht="35" customHeight="1" x14ac:dyDescent="0.35">
      <c r="A153" s="1" t="s">
        <v>535</v>
      </c>
      <c r="B153" s="2" t="s">
        <v>536</v>
      </c>
      <c r="C153" s="91" t="s">
        <v>537</v>
      </c>
      <c r="D153" s="88"/>
      <c r="E153" s="2" t="s">
        <v>414</v>
      </c>
      <c r="F153" s="53">
        <v>3</v>
      </c>
      <c r="G153" s="77">
        <v>0</v>
      </c>
      <c r="H153" s="53">
        <f t="shared" si="164"/>
        <v>0</v>
      </c>
      <c r="I153" s="79" t="s">
        <v>1688</v>
      </c>
      <c r="J153" s="49"/>
      <c r="Z153" s="53">
        <f t="shared" si="165"/>
        <v>0</v>
      </c>
      <c r="AB153" s="53">
        <f t="shared" si="166"/>
        <v>0</v>
      </c>
      <c r="AC153" s="53">
        <f t="shared" si="167"/>
        <v>0</v>
      </c>
      <c r="AD153" s="53">
        <f t="shared" si="168"/>
        <v>0</v>
      </c>
      <c r="AE153" s="53">
        <f t="shared" si="169"/>
        <v>0</v>
      </c>
      <c r="AF153" s="53">
        <f t="shared" si="170"/>
        <v>0</v>
      </c>
      <c r="AG153" s="53">
        <f t="shared" si="171"/>
        <v>0</v>
      </c>
      <c r="AH153" s="53">
        <f t="shared" si="172"/>
        <v>0</v>
      </c>
      <c r="AI153" s="36" t="s">
        <v>10</v>
      </c>
      <c r="AJ153" s="53">
        <f t="shared" si="173"/>
        <v>0</v>
      </c>
      <c r="AK153" s="53">
        <f t="shared" si="174"/>
        <v>0</v>
      </c>
      <c r="AL153" s="53">
        <f t="shared" si="175"/>
        <v>0</v>
      </c>
      <c r="AN153" s="53">
        <v>21</v>
      </c>
      <c r="AO153" s="53">
        <f>G153*0.950706406</f>
        <v>0</v>
      </c>
      <c r="AP153" s="53">
        <f>G153*(1-0.950706406)</f>
        <v>0</v>
      </c>
      <c r="AQ153" s="54" t="s">
        <v>134</v>
      </c>
      <c r="AV153" s="53">
        <f t="shared" si="176"/>
        <v>0</v>
      </c>
      <c r="AW153" s="53">
        <f t="shared" si="177"/>
        <v>0</v>
      </c>
      <c r="AX153" s="53">
        <f t="shared" si="178"/>
        <v>0</v>
      </c>
      <c r="AY153" s="54" t="s">
        <v>507</v>
      </c>
      <c r="AZ153" s="54" t="s">
        <v>325</v>
      </c>
      <c r="BA153" s="36" t="s">
        <v>116</v>
      </c>
      <c r="BC153" s="53">
        <f t="shared" si="179"/>
        <v>0</v>
      </c>
      <c r="BD153" s="53">
        <f t="shared" si="180"/>
        <v>0</v>
      </c>
      <c r="BE153" s="53">
        <v>0</v>
      </c>
      <c r="BF153" s="53">
        <f>153</f>
        <v>153</v>
      </c>
      <c r="BH153" s="53">
        <f t="shared" si="181"/>
        <v>0</v>
      </c>
      <c r="BI153" s="53">
        <f t="shared" si="182"/>
        <v>0</v>
      </c>
      <c r="BJ153" s="53">
        <f t="shared" si="183"/>
        <v>0</v>
      </c>
      <c r="BK153" s="54" t="s">
        <v>117</v>
      </c>
      <c r="BL153" s="53">
        <v>725</v>
      </c>
      <c r="BW153" s="53">
        <v>21</v>
      </c>
      <c r="BX153" s="3" t="s">
        <v>537</v>
      </c>
    </row>
    <row r="154" spans="1:76" ht="23" x14ac:dyDescent="0.35">
      <c r="A154" s="1" t="s">
        <v>538</v>
      </c>
      <c r="B154" s="2" t="s">
        <v>539</v>
      </c>
      <c r="C154" s="91" t="s">
        <v>540</v>
      </c>
      <c r="D154" s="88"/>
      <c r="E154" s="2" t="s">
        <v>121</v>
      </c>
      <c r="F154" s="53">
        <v>3</v>
      </c>
      <c r="G154" s="77">
        <v>0</v>
      </c>
      <c r="H154" s="53">
        <f t="shared" si="164"/>
        <v>0</v>
      </c>
      <c r="I154" s="79" t="s">
        <v>1688</v>
      </c>
      <c r="J154" s="49"/>
      <c r="Z154" s="53">
        <f t="shared" si="165"/>
        <v>0</v>
      </c>
      <c r="AB154" s="53">
        <f t="shared" si="166"/>
        <v>0</v>
      </c>
      <c r="AC154" s="53">
        <f t="shared" si="167"/>
        <v>0</v>
      </c>
      <c r="AD154" s="53">
        <f t="shared" si="168"/>
        <v>0</v>
      </c>
      <c r="AE154" s="53">
        <f t="shared" si="169"/>
        <v>0</v>
      </c>
      <c r="AF154" s="53">
        <f t="shared" si="170"/>
        <v>0</v>
      </c>
      <c r="AG154" s="53">
        <f t="shared" si="171"/>
        <v>0</v>
      </c>
      <c r="AH154" s="53">
        <f t="shared" si="172"/>
        <v>0</v>
      </c>
      <c r="AI154" s="36" t="s">
        <v>10</v>
      </c>
      <c r="AJ154" s="53">
        <f t="shared" si="173"/>
        <v>0</v>
      </c>
      <c r="AK154" s="53">
        <f t="shared" si="174"/>
        <v>0</v>
      </c>
      <c r="AL154" s="53">
        <f t="shared" si="175"/>
        <v>0</v>
      </c>
      <c r="AN154" s="53">
        <v>21</v>
      </c>
      <c r="AO154" s="53">
        <f>G154*0.945862012</f>
        <v>0</v>
      </c>
      <c r="AP154" s="53">
        <f>G154*(1-0.945862012)</f>
        <v>0</v>
      </c>
      <c r="AQ154" s="54" t="s">
        <v>134</v>
      </c>
      <c r="AV154" s="53">
        <f t="shared" si="176"/>
        <v>0</v>
      </c>
      <c r="AW154" s="53">
        <f t="shared" si="177"/>
        <v>0</v>
      </c>
      <c r="AX154" s="53">
        <f t="shared" si="178"/>
        <v>0</v>
      </c>
      <c r="AY154" s="54" t="s">
        <v>507</v>
      </c>
      <c r="AZ154" s="54" t="s">
        <v>325</v>
      </c>
      <c r="BA154" s="36" t="s">
        <v>116</v>
      </c>
      <c r="BC154" s="53">
        <f t="shared" si="179"/>
        <v>0</v>
      </c>
      <c r="BD154" s="53">
        <f t="shared" si="180"/>
        <v>0</v>
      </c>
      <c r="BE154" s="53">
        <v>0</v>
      </c>
      <c r="BF154" s="53">
        <f>154</f>
        <v>154</v>
      </c>
      <c r="BH154" s="53">
        <f t="shared" si="181"/>
        <v>0</v>
      </c>
      <c r="BI154" s="53">
        <f t="shared" si="182"/>
        <v>0</v>
      </c>
      <c r="BJ154" s="53">
        <f t="shared" si="183"/>
        <v>0</v>
      </c>
      <c r="BK154" s="54" t="s">
        <v>117</v>
      </c>
      <c r="BL154" s="53">
        <v>725</v>
      </c>
      <c r="BW154" s="53">
        <v>21</v>
      </c>
      <c r="BX154" s="3" t="s">
        <v>540</v>
      </c>
    </row>
    <row r="155" spans="1:76" ht="23" x14ac:dyDescent="0.35">
      <c r="A155" s="1" t="s">
        <v>541</v>
      </c>
      <c r="B155" s="2" t="s">
        <v>542</v>
      </c>
      <c r="C155" s="91" t="s">
        <v>543</v>
      </c>
      <c r="D155" s="88"/>
      <c r="E155" s="2" t="s">
        <v>121</v>
      </c>
      <c r="F155" s="53">
        <v>1</v>
      </c>
      <c r="G155" s="77">
        <v>0</v>
      </c>
      <c r="H155" s="53">
        <f t="shared" si="164"/>
        <v>0</v>
      </c>
      <c r="I155" s="79" t="s">
        <v>1688</v>
      </c>
      <c r="J155" s="49"/>
      <c r="Z155" s="53">
        <f t="shared" si="165"/>
        <v>0</v>
      </c>
      <c r="AB155" s="53">
        <f t="shared" si="166"/>
        <v>0</v>
      </c>
      <c r="AC155" s="53">
        <f t="shared" si="167"/>
        <v>0</v>
      </c>
      <c r="AD155" s="53">
        <f t="shared" si="168"/>
        <v>0</v>
      </c>
      <c r="AE155" s="53">
        <f t="shared" si="169"/>
        <v>0</v>
      </c>
      <c r="AF155" s="53">
        <f t="shared" si="170"/>
        <v>0</v>
      </c>
      <c r="AG155" s="53">
        <f t="shared" si="171"/>
        <v>0</v>
      </c>
      <c r="AH155" s="53">
        <f t="shared" si="172"/>
        <v>0</v>
      </c>
      <c r="AI155" s="36" t="s">
        <v>10</v>
      </c>
      <c r="AJ155" s="53">
        <f t="shared" si="173"/>
        <v>0</v>
      </c>
      <c r="AK155" s="53">
        <f t="shared" si="174"/>
        <v>0</v>
      </c>
      <c r="AL155" s="53">
        <f t="shared" si="175"/>
        <v>0</v>
      </c>
      <c r="AN155" s="53">
        <v>21</v>
      </c>
      <c r="AO155" s="53">
        <f>G155*0.789405113</f>
        <v>0</v>
      </c>
      <c r="AP155" s="53">
        <f>G155*(1-0.789405113)</f>
        <v>0</v>
      </c>
      <c r="AQ155" s="54" t="s">
        <v>134</v>
      </c>
      <c r="AV155" s="53">
        <f t="shared" si="176"/>
        <v>0</v>
      </c>
      <c r="AW155" s="53">
        <f t="shared" si="177"/>
        <v>0</v>
      </c>
      <c r="AX155" s="53">
        <f t="shared" si="178"/>
        <v>0</v>
      </c>
      <c r="AY155" s="54" t="s">
        <v>507</v>
      </c>
      <c r="AZ155" s="54" t="s">
        <v>325</v>
      </c>
      <c r="BA155" s="36" t="s">
        <v>116</v>
      </c>
      <c r="BC155" s="53">
        <f t="shared" si="179"/>
        <v>0</v>
      </c>
      <c r="BD155" s="53">
        <f t="shared" si="180"/>
        <v>0</v>
      </c>
      <c r="BE155" s="53">
        <v>0</v>
      </c>
      <c r="BF155" s="53">
        <f>155</f>
        <v>155</v>
      </c>
      <c r="BH155" s="53">
        <f t="shared" si="181"/>
        <v>0</v>
      </c>
      <c r="BI155" s="53">
        <f t="shared" si="182"/>
        <v>0</v>
      </c>
      <c r="BJ155" s="53">
        <f t="shared" si="183"/>
        <v>0</v>
      </c>
      <c r="BK155" s="54" t="s">
        <v>117</v>
      </c>
      <c r="BL155" s="53">
        <v>725</v>
      </c>
      <c r="BW155" s="53">
        <v>21</v>
      </c>
      <c r="BX155" s="3" t="s">
        <v>543</v>
      </c>
    </row>
    <row r="156" spans="1:76" ht="14.5" x14ac:dyDescent="0.35">
      <c r="A156" s="50" t="s">
        <v>10</v>
      </c>
      <c r="B156" s="51" t="s">
        <v>544</v>
      </c>
      <c r="C156" s="172" t="s">
        <v>545</v>
      </c>
      <c r="D156" s="173"/>
      <c r="E156" s="52" t="s">
        <v>75</v>
      </c>
      <c r="F156" s="52" t="s">
        <v>75</v>
      </c>
      <c r="G156" s="52" t="s">
        <v>75</v>
      </c>
      <c r="H156" s="28">
        <f>SUM(H157:H157)</f>
        <v>0</v>
      </c>
      <c r="I156" s="36" t="s">
        <v>10</v>
      </c>
      <c r="J156" s="49"/>
      <c r="AI156" s="36" t="s">
        <v>10</v>
      </c>
      <c r="AS156" s="28">
        <f>SUM(AJ157:AJ157)</f>
        <v>0</v>
      </c>
      <c r="AT156" s="28">
        <f>SUM(AK157:AK157)</f>
        <v>0</v>
      </c>
      <c r="AU156" s="28">
        <f>SUM(AL157:AL157)</f>
        <v>0</v>
      </c>
    </row>
    <row r="157" spans="1:76" ht="35" customHeight="1" x14ac:dyDescent="0.35">
      <c r="A157" s="1" t="s">
        <v>546</v>
      </c>
      <c r="B157" s="2" t="s">
        <v>547</v>
      </c>
      <c r="C157" s="91" t="s">
        <v>548</v>
      </c>
      <c r="D157" s="88"/>
      <c r="E157" s="2" t="s">
        <v>414</v>
      </c>
      <c r="F157" s="53">
        <v>4</v>
      </c>
      <c r="G157" s="77">
        <v>0</v>
      </c>
      <c r="H157" s="53">
        <f>ROUND(F157*G157,2)</f>
        <v>0</v>
      </c>
      <c r="I157" s="79" t="s">
        <v>1688</v>
      </c>
      <c r="J157" s="49"/>
      <c r="Z157" s="53">
        <f>ROUND(IF(AQ157="5",BJ157,0),2)</f>
        <v>0</v>
      </c>
      <c r="AB157" s="53">
        <f>ROUND(IF(AQ157="1",BH157,0),2)</f>
        <v>0</v>
      </c>
      <c r="AC157" s="53">
        <f>ROUND(IF(AQ157="1",BI157,0),2)</f>
        <v>0</v>
      </c>
      <c r="AD157" s="53">
        <f>ROUND(IF(AQ157="7",BH157,0),2)</f>
        <v>0</v>
      </c>
      <c r="AE157" s="53">
        <f>ROUND(IF(AQ157="7",BI157,0),2)</f>
        <v>0</v>
      </c>
      <c r="AF157" s="53">
        <f>ROUND(IF(AQ157="2",BH157,0),2)</f>
        <v>0</v>
      </c>
      <c r="AG157" s="53">
        <f>ROUND(IF(AQ157="2",BI157,0),2)</f>
        <v>0</v>
      </c>
      <c r="AH157" s="53">
        <f>ROUND(IF(AQ157="0",BJ157,0),2)</f>
        <v>0</v>
      </c>
      <c r="AI157" s="36" t="s">
        <v>10</v>
      </c>
      <c r="AJ157" s="53">
        <f>IF(AN157=0,H157,0)</f>
        <v>0</v>
      </c>
      <c r="AK157" s="53">
        <f>IF(AN157=12,H157,0)</f>
        <v>0</v>
      </c>
      <c r="AL157" s="53">
        <f>IF(AN157=21,H157,0)</f>
        <v>0</v>
      </c>
      <c r="AN157" s="53">
        <v>21</v>
      </c>
      <c r="AO157" s="53">
        <f>G157*0.873990063</f>
        <v>0</v>
      </c>
      <c r="AP157" s="53">
        <f>G157*(1-0.873990063)</f>
        <v>0</v>
      </c>
      <c r="AQ157" s="54" t="s">
        <v>134</v>
      </c>
      <c r="AV157" s="53">
        <f>ROUND(AW157+AX157,2)</f>
        <v>0</v>
      </c>
      <c r="AW157" s="53">
        <f>ROUND(F157*AO157,2)</f>
        <v>0</v>
      </c>
      <c r="AX157" s="53">
        <f>ROUND(F157*AP157,2)</f>
        <v>0</v>
      </c>
      <c r="AY157" s="54" t="s">
        <v>549</v>
      </c>
      <c r="AZ157" s="54" t="s">
        <v>325</v>
      </c>
      <c r="BA157" s="36" t="s">
        <v>116</v>
      </c>
      <c r="BC157" s="53">
        <f>AW157+AX157</f>
        <v>0</v>
      </c>
      <c r="BD157" s="53">
        <f>G157/(100-BE157)*100</f>
        <v>0</v>
      </c>
      <c r="BE157" s="53">
        <v>0</v>
      </c>
      <c r="BF157" s="53">
        <f>157</f>
        <v>157</v>
      </c>
      <c r="BH157" s="53">
        <f>F157*AO157</f>
        <v>0</v>
      </c>
      <c r="BI157" s="53">
        <f>F157*AP157</f>
        <v>0</v>
      </c>
      <c r="BJ157" s="53">
        <f>F157*G157</f>
        <v>0</v>
      </c>
      <c r="BK157" s="54" t="s">
        <v>117</v>
      </c>
      <c r="BL157" s="53">
        <v>726</v>
      </c>
      <c r="BW157" s="53">
        <v>21</v>
      </c>
      <c r="BX157" s="3" t="s">
        <v>548</v>
      </c>
    </row>
    <row r="158" spans="1:76" ht="14.5" x14ac:dyDescent="0.35">
      <c r="A158" s="50" t="s">
        <v>10</v>
      </c>
      <c r="B158" s="51" t="s">
        <v>550</v>
      </c>
      <c r="C158" s="172" t="s">
        <v>551</v>
      </c>
      <c r="D158" s="173"/>
      <c r="E158" s="52" t="s">
        <v>75</v>
      </c>
      <c r="F158" s="52" t="s">
        <v>75</v>
      </c>
      <c r="G158" s="52" t="s">
        <v>75</v>
      </c>
      <c r="H158" s="28">
        <f>SUM(H159:H197)</f>
        <v>0</v>
      </c>
      <c r="I158" s="36" t="s">
        <v>10</v>
      </c>
      <c r="J158" s="49"/>
      <c r="AI158" s="36" t="s">
        <v>10</v>
      </c>
      <c r="AS158" s="28">
        <f>SUM(AJ159:AJ197)</f>
        <v>0</v>
      </c>
      <c r="AT158" s="28">
        <f>SUM(AK159:AK197)</f>
        <v>0</v>
      </c>
      <c r="AU158" s="28">
        <f>SUM(AL159:AL197)</f>
        <v>0</v>
      </c>
    </row>
    <row r="159" spans="1:76" ht="35" customHeight="1" x14ac:dyDescent="0.35">
      <c r="A159" s="1" t="s">
        <v>552</v>
      </c>
      <c r="B159" s="2" t="s">
        <v>553</v>
      </c>
      <c r="C159" s="91" t="s">
        <v>554</v>
      </c>
      <c r="D159" s="88"/>
      <c r="E159" s="2" t="s">
        <v>424</v>
      </c>
      <c r="F159" s="53">
        <v>1</v>
      </c>
      <c r="G159" s="77">
        <v>0</v>
      </c>
      <c r="H159" s="53">
        <f t="shared" ref="H159:H197" si="184">ROUND(F159*G159,2)</f>
        <v>0</v>
      </c>
      <c r="I159" s="79" t="s">
        <v>1688</v>
      </c>
      <c r="J159" s="49"/>
      <c r="Z159" s="53">
        <f t="shared" ref="Z159:Z197" si="185">ROUND(IF(AQ159="5",BJ159,0),2)</f>
        <v>0</v>
      </c>
      <c r="AB159" s="53">
        <f t="shared" ref="AB159:AB197" si="186">ROUND(IF(AQ159="1",BH159,0),2)</f>
        <v>0</v>
      </c>
      <c r="AC159" s="53">
        <f t="shared" ref="AC159:AC197" si="187">ROUND(IF(AQ159="1",BI159,0),2)</f>
        <v>0</v>
      </c>
      <c r="AD159" s="53">
        <f t="shared" ref="AD159:AD197" si="188">ROUND(IF(AQ159="7",BH159,0),2)</f>
        <v>0</v>
      </c>
      <c r="AE159" s="53">
        <f t="shared" ref="AE159:AE197" si="189">ROUND(IF(AQ159="7",BI159,0),2)</f>
        <v>0</v>
      </c>
      <c r="AF159" s="53">
        <f t="shared" ref="AF159:AF197" si="190">ROUND(IF(AQ159="2",BH159,0),2)</f>
        <v>0</v>
      </c>
      <c r="AG159" s="53">
        <f t="shared" ref="AG159:AG197" si="191">ROUND(IF(AQ159="2",BI159,0),2)</f>
        <v>0</v>
      </c>
      <c r="AH159" s="53">
        <f t="shared" ref="AH159:AH197" si="192">ROUND(IF(AQ159="0",BJ159,0),2)</f>
        <v>0</v>
      </c>
      <c r="AI159" s="36" t="s">
        <v>10</v>
      </c>
      <c r="AJ159" s="53">
        <f t="shared" ref="AJ159:AJ197" si="193">IF(AN159=0,H159,0)</f>
        <v>0</v>
      </c>
      <c r="AK159" s="53">
        <f t="shared" ref="AK159:AK197" si="194">IF(AN159=12,H159,0)</f>
        <v>0</v>
      </c>
      <c r="AL159" s="53">
        <f t="shared" ref="AL159:AL197" si="195">IF(AN159=21,H159,0)</f>
        <v>0</v>
      </c>
      <c r="AN159" s="53">
        <v>21</v>
      </c>
      <c r="AO159" s="53">
        <f>G159*0.789251844</f>
        <v>0</v>
      </c>
      <c r="AP159" s="53">
        <f>G159*(1-0.789251844)</f>
        <v>0</v>
      </c>
      <c r="AQ159" s="54" t="s">
        <v>134</v>
      </c>
      <c r="AV159" s="53">
        <f t="shared" ref="AV159:AV197" si="196">ROUND(AW159+AX159,2)</f>
        <v>0</v>
      </c>
      <c r="AW159" s="53">
        <f t="shared" ref="AW159:AW197" si="197">ROUND(F159*AO159,2)</f>
        <v>0</v>
      </c>
      <c r="AX159" s="53">
        <f t="shared" ref="AX159:AX197" si="198">ROUND(F159*AP159,2)</f>
        <v>0</v>
      </c>
      <c r="AY159" s="54" t="s">
        <v>555</v>
      </c>
      <c r="AZ159" s="54" t="s">
        <v>325</v>
      </c>
      <c r="BA159" s="36" t="s">
        <v>116</v>
      </c>
      <c r="BC159" s="53">
        <f t="shared" ref="BC159:BC197" si="199">AW159+AX159</f>
        <v>0</v>
      </c>
      <c r="BD159" s="53">
        <f t="shared" ref="BD159:BD197" si="200">G159/(100-BE159)*100</f>
        <v>0</v>
      </c>
      <c r="BE159" s="53">
        <v>0</v>
      </c>
      <c r="BF159" s="53">
        <f>159</f>
        <v>159</v>
      </c>
      <c r="BH159" s="53">
        <f t="shared" ref="BH159:BH197" si="201">F159*AO159</f>
        <v>0</v>
      </c>
      <c r="BI159" s="53">
        <f t="shared" ref="BI159:BI197" si="202">F159*AP159</f>
        <v>0</v>
      </c>
      <c r="BJ159" s="53">
        <f t="shared" ref="BJ159:BJ197" si="203">F159*G159</f>
        <v>0</v>
      </c>
      <c r="BK159" s="54" t="s">
        <v>117</v>
      </c>
      <c r="BL159" s="53">
        <v>728</v>
      </c>
      <c r="BW159" s="53">
        <v>21</v>
      </c>
      <c r="BX159" s="3" t="s">
        <v>554</v>
      </c>
    </row>
    <row r="160" spans="1:76" ht="23" x14ac:dyDescent="0.35">
      <c r="A160" s="1" t="s">
        <v>556</v>
      </c>
      <c r="B160" s="2" t="s">
        <v>557</v>
      </c>
      <c r="C160" s="91" t="s">
        <v>558</v>
      </c>
      <c r="D160" s="88"/>
      <c r="E160" s="2" t="s">
        <v>434</v>
      </c>
      <c r="F160" s="53">
        <v>4</v>
      </c>
      <c r="G160" s="77">
        <v>0</v>
      </c>
      <c r="H160" s="53">
        <f t="shared" si="184"/>
        <v>0</v>
      </c>
      <c r="I160" s="79" t="s">
        <v>1688</v>
      </c>
      <c r="J160" s="49"/>
      <c r="Z160" s="53">
        <f t="shared" si="185"/>
        <v>0</v>
      </c>
      <c r="AB160" s="53">
        <f t="shared" si="186"/>
        <v>0</v>
      </c>
      <c r="AC160" s="53">
        <f t="shared" si="187"/>
        <v>0</v>
      </c>
      <c r="AD160" s="53">
        <f t="shared" si="188"/>
        <v>0</v>
      </c>
      <c r="AE160" s="53">
        <f t="shared" si="189"/>
        <v>0</v>
      </c>
      <c r="AF160" s="53">
        <f t="shared" si="190"/>
        <v>0</v>
      </c>
      <c r="AG160" s="53">
        <f t="shared" si="191"/>
        <v>0</v>
      </c>
      <c r="AH160" s="53">
        <f t="shared" si="192"/>
        <v>0</v>
      </c>
      <c r="AI160" s="36" t="s">
        <v>10</v>
      </c>
      <c r="AJ160" s="53">
        <f t="shared" si="193"/>
        <v>0</v>
      </c>
      <c r="AK160" s="53">
        <f t="shared" si="194"/>
        <v>0</v>
      </c>
      <c r="AL160" s="53">
        <f t="shared" si="195"/>
        <v>0</v>
      </c>
      <c r="AN160" s="53">
        <v>21</v>
      </c>
      <c r="AO160" s="53">
        <f>G160*0.858895706</f>
        <v>0</v>
      </c>
      <c r="AP160" s="53">
        <f>G160*(1-0.858895706)</f>
        <v>0</v>
      </c>
      <c r="AQ160" s="54" t="s">
        <v>134</v>
      </c>
      <c r="AV160" s="53">
        <f t="shared" si="196"/>
        <v>0</v>
      </c>
      <c r="AW160" s="53">
        <f t="shared" si="197"/>
        <v>0</v>
      </c>
      <c r="AX160" s="53">
        <f t="shared" si="198"/>
        <v>0</v>
      </c>
      <c r="AY160" s="54" t="s">
        <v>555</v>
      </c>
      <c r="AZ160" s="54" t="s">
        <v>325</v>
      </c>
      <c r="BA160" s="36" t="s">
        <v>116</v>
      </c>
      <c r="BC160" s="53">
        <f t="shared" si="199"/>
        <v>0</v>
      </c>
      <c r="BD160" s="53">
        <f t="shared" si="200"/>
        <v>0</v>
      </c>
      <c r="BE160" s="53">
        <v>0</v>
      </c>
      <c r="BF160" s="53">
        <f>160</f>
        <v>160</v>
      </c>
      <c r="BH160" s="53">
        <f t="shared" si="201"/>
        <v>0</v>
      </c>
      <c r="BI160" s="53">
        <f t="shared" si="202"/>
        <v>0</v>
      </c>
      <c r="BJ160" s="53">
        <f t="shared" si="203"/>
        <v>0</v>
      </c>
      <c r="BK160" s="54" t="s">
        <v>117</v>
      </c>
      <c r="BL160" s="53">
        <v>728</v>
      </c>
      <c r="BW160" s="53">
        <v>21</v>
      </c>
      <c r="BX160" s="3" t="s">
        <v>558</v>
      </c>
    </row>
    <row r="161" spans="1:76" ht="23" x14ac:dyDescent="0.35">
      <c r="A161" s="1" t="s">
        <v>559</v>
      </c>
      <c r="B161" s="2" t="s">
        <v>560</v>
      </c>
      <c r="C161" s="91" t="s">
        <v>561</v>
      </c>
      <c r="D161" s="88"/>
      <c r="E161" s="2" t="s">
        <v>434</v>
      </c>
      <c r="F161" s="53">
        <v>2</v>
      </c>
      <c r="G161" s="77">
        <v>0</v>
      </c>
      <c r="H161" s="53">
        <f t="shared" si="184"/>
        <v>0</v>
      </c>
      <c r="I161" s="79" t="s">
        <v>1688</v>
      </c>
      <c r="J161" s="49"/>
      <c r="Z161" s="53">
        <f t="shared" si="185"/>
        <v>0</v>
      </c>
      <c r="AB161" s="53">
        <f t="shared" si="186"/>
        <v>0</v>
      </c>
      <c r="AC161" s="53">
        <f t="shared" si="187"/>
        <v>0</v>
      </c>
      <c r="AD161" s="53">
        <f t="shared" si="188"/>
        <v>0</v>
      </c>
      <c r="AE161" s="53">
        <f t="shared" si="189"/>
        <v>0</v>
      </c>
      <c r="AF161" s="53">
        <f t="shared" si="190"/>
        <v>0</v>
      </c>
      <c r="AG161" s="53">
        <f t="shared" si="191"/>
        <v>0</v>
      </c>
      <c r="AH161" s="53">
        <f t="shared" si="192"/>
        <v>0</v>
      </c>
      <c r="AI161" s="36" t="s">
        <v>10</v>
      </c>
      <c r="AJ161" s="53">
        <f t="shared" si="193"/>
        <v>0</v>
      </c>
      <c r="AK161" s="53">
        <f t="shared" si="194"/>
        <v>0</v>
      </c>
      <c r="AL161" s="53">
        <f t="shared" si="195"/>
        <v>0</v>
      </c>
      <c r="AN161" s="53">
        <v>21</v>
      </c>
      <c r="AO161" s="53">
        <f>G161*0.863309353</f>
        <v>0</v>
      </c>
      <c r="AP161" s="53">
        <f>G161*(1-0.863309353)</f>
        <v>0</v>
      </c>
      <c r="AQ161" s="54" t="s">
        <v>134</v>
      </c>
      <c r="AV161" s="53">
        <f t="shared" si="196"/>
        <v>0</v>
      </c>
      <c r="AW161" s="53">
        <f t="shared" si="197"/>
        <v>0</v>
      </c>
      <c r="AX161" s="53">
        <f t="shared" si="198"/>
        <v>0</v>
      </c>
      <c r="AY161" s="54" t="s">
        <v>555</v>
      </c>
      <c r="AZ161" s="54" t="s">
        <v>325</v>
      </c>
      <c r="BA161" s="36" t="s">
        <v>116</v>
      </c>
      <c r="BC161" s="53">
        <f t="shared" si="199"/>
        <v>0</v>
      </c>
      <c r="BD161" s="53">
        <f t="shared" si="200"/>
        <v>0</v>
      </c>
      <c r="BE161" s="53">
        <v>0</v>
      </c>
      <c r="BF161" s="53">
        <f>161</f>
        <v>161</v>
      </c>
      <c r="BH161" s="53">
        <f t="shared" si="201"/>
        <v>0</v>
      </c>
      <c r="BI161" s="53">
        <f t="shared" si="202"/>
        <v>0</v>
      </c>
      <c r="BJ161" s="53">
        <f t="shared" si="203"/>
        <v>0</v>
      </c>
      <c r="BK161" s="54" t="s">
        <v>117</v>
      </c>
      <c r="BL161" s="53">
        <v>728</v>
      </c>
      <c r="BW161" s="53">
        <v>21</v>
      </c>
      <c r="BX161" s="3" t="s">
        <v>561</v>
      </c>
    </row>
    <row r="162" spans="1:76" ht="23" x14ac:dyDescent="0.35">
      <c r="A162" s="1" t="s">
        <v>562</v>
      </c>
      <c r="B162" s="2" t="s">
        <v>563</v>
      </c>
      <c r="C162" s="91" t="s">
        <v>564</v>
      </c>
      <c r="D162" s="88"/>
      <c r="E162" s="2" t="s">
        <v>434</v>
      </c>
      <c r="F162" s="53">
        <v>1</v>
      </c>
      <c r="G162" s="77">
        <v>0</v>
      </c>
      <c r="H162" s="53">
        <f t="shared" si="184"/>
        <v>0</v>
      </c>
      <c r="I162" s="79" t="s">
        <v>1688</v>
      </c>
      <c r="J162" s="49"/>
      <c r="Z162" s="53">
        <f t="shared" si="185"/>
        <v>0</v>
      </c>
      <c r="AB162" s="53">
        <f t="shared" si="186"/>
        <v>0</v>
      </c>
      <c r="AC162" s="53">
        <f t="shared" si="187"/>
        <v>0</v>
      </c>
      <c r="AD162" s="53">
        <f t="shared" si="188"/>
        <v>0</v>
      </c>
      <c r="AE162" s="53">
        <f t="shared" si="189"/>
        <v>0</v>
      </c>
      <c r="AF162" s="53">
        <f t="shared" si="190"/>
        <v>0</v>
      </c>
      <c r="AG162" s="53">
        <f t="shared" si="191"/>
        <v>0</v>
      </c>
      <c r="AH162" s="53">
        <f t="shared" si="192"/>
        <v>0</v>
      </c>
      <c r="AI162" s="36" t="s">
        <v>10</v>
      </c>
      <c r="AJ162" s="53">
        <f t="shared" si="193"/>
        <v>0</v>
      </c>
      <c r="AK162" s="53">
        <f t="shared" si="194"/>
        <v>0</v>
      </c>
      <c r="AL162" s="53">
        <f t="shared" si="195"/>
        <v>0</v>
      </c>
      <c r="AN162" s="53">
        <v>21</v>
      </c>
      <c r="AO162" s="53">
        <f>G162*0.777467994</f>
        <v>0</v>
      </c>
      <c r="AP162" s="53">
        <f>G162*(1-0.777467994)</f>
        <v>0</v>
      </c>
      <c r="AQ162" s="54" t="s">
        <v>134</v>
      </c>
      <c r="AV162" s="53">
        <f t="shared" si="196"/>
        <v>0</v>
      </c>
      <c r="AW162" s="53">
        <f t="shared" si="197"/>
        <v>0</v>
      </c>
      <c r="AX162" s="53">
        <f t="shared" si="198"/>
        <v>0</v>
      </c>
      <c r="AY162" s="54" t="s">
        <v>555</v>
      </c>
      <c r="AZ162" s="54" t="s">
        <v>325</v>
      </c>
      <c r="BA162" s="36" t="s">
        <v>116</v>
      </c>
      <c r="BC162" s="53">
        <f t="shared" si="199"/>
        <v>0</v>
      </c>
      <c r="BD162" s="53">
        <f t="shared" si="200"/>
        <v>0</v>
      </c>
      <c r="BE162" s="53">
        <v>0</v>
      </c>
      <c r="BF162" s="53">
        <f>162</f>
        <v>162</v>
      </c>
      <c r="BH162" s="53">
        <f t="shared" si="201"/>
        <v>0</v>
      </c>
      <c r="BI162" s="53">
        <f t="shared" si="202"/>
        <v>0</v>
      </c>
      <c r="BJ162" s="53">
        <f t="shared" si="203"/>
        <v>0</v>
      </c>
      <c r="BK162" s="54" t="s">
        <v>117</v>
      </c>
      <c r="BL162" s="53">
        <v>728</v>
      </c>
      <c r="BW162" s="53">
        <v>21</v>
      </c>
      <c r="BX162" s="3" t="s">
        <v>564</v>
      </c>
    </row>
    <row r="163" spans="1:76" ht="23" x14ac:dyDescent="0.35">
      <c r="A163" s="1" t="s">
        <v>565</v>
      </c>
      <c r="B163" s="2" t="s">
        <v>566</v>
      </c>
      <c r="C163" s="91" t="s">
        <v>567</v>
      </c>
      <c r="D163" s="88"/>
      <c r="E163" s="2" t="s">
        <v>434</v>
      </c>
      <c r="F163" s="53">
        <v>1</v>
      </c>
      <c r="G163" s="77">
        <v>0</v>
      </c>
      <c r="H163" s="53">
        <f t="shared" si="184"/>
        <v>0</v>
      </c>
      <c r="I163" s="79" t="s">
        <v>1688</v>
      </c>
      <c r="J163" s="49"/>
      <c r="Z163" s="53">
        <f t="shared" si="185"/>
        <v>0</v>
      </c>
      <c r="AB163" s="53">
        <f t="shared" si="186"/>
        <v>0</v>
      </c>
      <c r="AC163" s="53">
        <f t="shared" si="187"/>
        <v>0</v>
      </c>
      <c r="AD163" s="53">
        <f t="shared" si="188"/>
        <v>0</v>
      </c>
      <c r="AE163" s="53">
        <f t="shared" si="189"/>
        <v>0</v>
      </c>
      <c r="AF163" s="53">
        <f t="shared" si="190"/>
        <v>0</v>
      </c>
      <c r="AG163" s="53">
        <f t="shared" si="191"/>
        <v>0</v>
      </c>
      <c r="AH163" s="53">
        <f t="shared" si="192"/>
        <v>0</v>
      </c>
      <c r="AI163" s="36" t="s">
        <v>10</v>
      </c>
      <c r="AJ163" s="53">
        <f t="shared" si="193"/>
        <v>0</v>
      </c>
      <c r="AK163" s="53">
        <f t="shared" si="194"/>
        <v>0</v>
      </c>
      <c r="AL163" s="53">
        <f t="shared" si="195"/>
        <v>0</v>
      </c>
      <c r="AN163" s="53">
        <v>21</v>
      </c>
      <c r="AO163" s="53">
        <f>G163*0.658432304</f>
        <v>0</v>
      </c>
      <c r="AP163" s="53">
        <f>G163*(1-0.658432304)</f>
        <v>0</v>
      </c>
      <c r="AQ163" s="54" t="s">
        <v>134</v>
      </c>
      <c r="AV163" s="53">
        <f t="shared" si="196"/>
        <v>0</v>
      </c>
      <c r="AW163" s="53">
        <f t="shared" si="197"/>
        <v>0</v>
      </c>
      <c r="AX163" s="53">
        <f t="shared" si="198"/>
        <v>0</v>
      </c>
      <c r="AY163" s="54" t="s">
        <v>555</v>
      </c>
      <c r="AZ163" s="54" t="s">
        <v>325</v>
      </c>
      <c r="BA163" s="36" t="s">
        <v>116</v>
      </c>
      <c r="BC163" s="53">
        <f t="shared" si="199"/>
        <v>0</v>
      </c>
      <c r="BD163" s="53">
        <f t="shared" si="200"/>
        <v>0</v>
      </c>
      <c r="BE163" s="53">
        <v>0</v>
      </c>
      <c r="BF163" s="53">
        <f>163</f>
        <v>163</v>
      </c>
      <c r="BH163" s="53">
        <f t="shared" si="201"/>
        <v>0</v>
      </c>
      <c r="BI163" s="53">
        <f t="shared" si="202"/>
        <v>0</v>
      </c>
      <c r="BJ163" s="53">
        <f t="shared" si="203"/>
        <v>0</v>
      </c>
      <c r="BK163" s="54" t="s">
        <v>117</v>
      </c>
      <c r="BL163" s="53">
        <v>728</v>
      </c>
      <c r="BW163" s="53">
        <v>21</v>
      </c>
      <c r="BX163" s="3" t="s">
        <v>567</v>
      </c>
    </row>
    <row r="164" spans="1:76" ht="23" x14ac:dyDescent="0.35">
      <c r="A164" s="1" t="s">
        <v>568</v>
      </c>
      <c r="B164" s="2" t="s">
        <v>569</v>
      </c>
      <c r="C164" s="91" t="s">
        <v>570</v>
      </c>
      <c r="D164" s="88"/>
      <c r="E164" s="2" t="s">
        <v>434</v>
      </c>
      <c r="F164" s="53">
        <v>12</v>
      </c>
      <c r="G164" s="77">
        <v>0</v>
      </c>
      <c r="H164" s="53">
        <f t="shared" si="184"/>
        <v>0</v>
      </c>
      <c r="I164" s="79" t="s">
        <v>1688</v>
      </c>
      <c r="J164" s="49"/>
      <c r="Z164" s="53">
        <f t="shared" si="185"/>
        <v>0</v>
      </c>
      <c r="AB164" s="53">
        <f t="shared" si="186"/>
        <v>0</v>
      </c>
      <c r="AC164" s="53">
        <f t="shared" si="187"/>
        <v>0</v>
      </c>
      <c r="AD164" s="53">
        <f t="shared" si="188"/>
        <v>0</v>
      </c>
      <c r="AE164" s="53">
        <f t="shared" si="189"/>
        <v>0</v>
      </c>
      <c r="AF164" s="53">
        <f t="shared" si="190"/>
        <v>0</v>
      </c>
      <c r="AG164" s="53">
        <f t="shared" si="191"/>
        <v>0</v>
      </c>
      <c r="AH164" s="53">
        <f t="shared" si="192"/>
        <v>0</v>
      </c>
      <c r="AI164" s="36" t="s">
        <v>10</v>
      </c>
      <c r="AJ164" s="53">
        <f t="shared" si="193"/>
        <v>0</v>
      </c>
      <c r="AK164" s="53">
        <f t="shared" si="194"/>
        <v>0</v>
      </c>
      <c r="AL164" s="53">
        <f t="shared" si="195"/>
        <v>0</v>
      </c>
      <c r="AN164" s="53">
        <v>21</v>
      </c>
      <c r="AO164" s="53">
        <f>G164*0.666713434</f>
        <v>0</v>
      </c>
      <c r="AP164" s="53">
        <f>G164*(1-0.666713434)</f>
        <v>0</v>
      </c>
      <c r="AQ164" s="54" t="s">
        <v>134</v>
      </c>
      <c r="AV164" s="53">
        <f t="shared" si="196"/>
        <v>0</v>
      </c>
      <c r="AW164" s="53">
        <f t="shared" si="197"/>
        <v>0</v>
      </c>
      <c r="AX164" s="53">
        <f t="shared" si="198"/>
        <v>0</v>
      </c>
      <c r="AY164" s="54" t="s">
        <v>555</v>
      </c>
      <c r="AZ164" s="54" t="s">
        <v>325</v>
      </c>
      <c r="BA164" s="36" t="s">
        <v>116</v>
      </c>
      <c r="BC164" s="53">
        <f t="shared" si="199"/>
        <v>0</v>
      </c>
      <c r="BD164" s="53">
        <f t="shared" si="200"/>
        <v>0</v>
      </c>
      <c r="BE164" s="53">
        <v>0</v>
      </c>
      <c r="BF164" s="53">
        <f>164</f>
        <v>164</v>
      </c>
      <c r="BH164" s="53">
        <f t="shared" si="201"/>
        <v>0</v>
      </c>
      <c r="BI164" s="53">
        <f t="shared" si="202"/>
        <v>0</v>
      </c>
      <c r="BJ164" s="53">
        <f t="shared" si="203"/>
        <v>0</v>
      </c>
      <c r="BK164" s="54" t="s">
        <v>117</v>
      </c>
      <c r="BL164" s="53">
        <v>728</v>
      </c>
      <c r="BW164" s="53">
        <v>21</v>
      </c>
      <c r="BX164" s="3" t="s">
        <v>570</v>
      </c>
    </row>
    <row r="165" spans="1:76" ht="23" x14ac:dyDescent="0.35">
      <c r="A165" s="1" t="s">
        <v>571</v>
      </c>
      <c r="B165" s="2" t="s">
        <v>572</v>
      </c>
      <c r="C165" s="91" t="s">
        <v>573</v>
      </c>
      <c r="D165" s="88"/>
      <c r="E165" s="2" t="s">
        <v>434</v>
      </c>
      <c r="F165" s="53">
        <v>5</v>
      </c>
      <c r="G165" s="77">
        <v>0</v>
      </c>
      <c r="H165" s="53">
        <f t="shared" si="184"/>
        <v>0</v>
      </c>
      <c r="I165" s="79" t="s">
        <v>1688</v>
      </c>
      <c r="J165" s="49"/>
      <c r="Z165" s="53">
        <f t="shared" si="185"/>
        <v>0</v>
      </c>
      <c r="AB165" s="53">
        <f t="shared" si="186"/>
        <v>0</v>
      </c>
      <c r="AC165" s="53">
        <f t="shared" si="187"/>
        <v>0</v>
      </c>
      <c r="AD165" s="53">
        <f t="shared" si="188"/>
        <v>0</v>
      </c>
      <c r="AE165" s="53">
        <f t="shared" si="189"/>
        <v>0</v>
      </c>
      <c r="AF165" s="53">
        <f t="shared" si="190"/>
        <v>0</v>
      </c>
      <c r="AG165" s="53">
        <f t="shared" si="191"/>
        <v>0</v>
      </c>
      <c r="AH165" s="53">
        <f t="shared" si="192"/>
        <v>0</v>
      </c>
      <c r="AI165" s="36" t="s">
        <v>10</v>
      </c>
      <c r="AJ165" s="53">
        <f t="shared" si="193"/>
        <v>0</v>
      </c>
      <c r="AK165" s="53">
        <f t="shared" si="194"/>
        <v>0</v>
      </c>
      <c r="AL165" s="53">
        <f t="shared" si="195"/>
        <v>0</v>
      </c>
      <c r="AN165" s="53">
        <v>21</v>
      </c>
      <c r="AO165" s="53">
        <f>G165*0.706666667</f>
        <v>0</v>
      </c>
      <c r="AP165" s="53">
        <f>G165*(1-0.706666667)</f>
        <v>0</v>
      </c>
      <c r="AQ165" s="54" t="s">
        <v>134</v>
      </c>
      <c r="AV165" s="53">
        <f t="shared" si="196"/>
        <v>0</v>
      </c>
      <c r="AW165" s="53">
        <f t="shared" si="197"/>
        <v>0</v>
      </c>
      <c r="AX165" s="53">
        <f t="shared" si="198"/>
        <v>0</v>
      </c>
      <c r="AY165" s="54" t="s">
        <v>555</v>
      </c>
      <c r="AZ165" s="54" t="s">
        <v>325</v>
      </c>
      <c r="BA165" s="36" t="s">
        <v>116</v>
      </c>
      <c r="BC165" s="53">
        <f t="shared" si="199"/>
        <v>0</v>
      </c>
      <c r="BD165" s="53">
        <f t="shared" si="200"/>
        <v>0</v>
      </c>
      <c r="BE165" s="53">
        <v>0</v>
      </c>
      <c r="BF165" s="53">
        <f>165</f>
        <v>165</v>
      </c>
      <c r="BH165" s="53">
        <f t="shared" si="201"/>
        <v>0</v>
      </c>
      <c r="BI165" s="53">
        <f t="shared" si="202"/>
        <v>0</v>
      </c>
      <c r="BJ165" s="53">
        <f t="shared" si="203"/>
        <v>0</v>
      </c>
      <c r="BK165" s="54" t="s">
        <v>117</v>
      </c>
      <c r="BL165" s="53">
        <v>728</v>
      </c>
      <c r="BW165" s="53">
        <v>21</v>
      </c>
      <c r="BX165" s="3" t="s">
        <v>573</v>
      </c>
    </row>
    <row r="166" spans="1:76" ht="23" x14ac:dyDescent="0.35">
      <c r="A166" s="1" t="s">
        <v>574</v>
      </c>
      <c r="B166" s="2" t="s">
        <v>572</v>
      </c>
      <c r="C166" s="91" t="s">
        <v>575</v>
      </c>
      <c r="D166" s="88"/>
      <c r="E166" s="2" t="s">
        <v>434</v>
      </c>
      <c r="F166" s="53">
        <v>4</v>
      </c>
      <c r="G166" s="77">
        <v>0</v>
      </c>
      <c r="H166" s="53">
        <f t="shared" si="184"/>
        <v>0</v>
      </c>
      <c r="I166" s="79" t="s">
        <v>1688</v>
      </c>
      <c r="J166" s="49"/>
      <c r="Z166" s="53">
        <f t="shared" si="185"/>
        <v>0</v>
      </c>
      <c r="AB166" s="53">
        <f t="shared" si="186"/>
        <v>0</v>
      </c>
      <c r="AC166" s="53">
        <f t="shared" si="187"/>
        <v>0</v>
      </c>
      <c r="AD166" s="53">
        <f t="shared" si="188"/>
        <v>0</v>
      </c>
      <c r="AE166" s="53">
        <f t="shared" si="189"/>
        <v>0</v>
      </c>
      <c r="AF166" s="53">
        <f t="shared" si="190"/>
        <v>0</v>
      </c>
      <c r="AG166" s="53">
        <f t="shared" si="191"/>
        <v>0</v>
      </c>
      <c r="AH166" s="53">
        <f t="shared" si="192"/>
        <v>0</v>
      </c>
      <c r="AI166" s="36" t="s">
        <v>10</v>
      </c>
      <c r="AJ166" s="53">
        <f t="shared" si="193"/>
        <v>0</v>
      </c>
      <c r="AK166" s="53">
        <f t="shared" si="194"/>
        <v>0</v>
      </c>
      <c r="AL166" s="53">
        <f t="shared" si="195"/>
        <v>0</v>
      </c>
      <c r="AN166" s="53">
        <v>21</v>
      </c>
      <c r="AO166" s="53">
        <f>G166*0.698912134</f>
        <v>0</v>
      </c>
      <c r="AP166" s="53">
        <f>G166*(1-0.698912134)</f>
        <v>0</v>
      </c>
      <c r="AQ166" s="54" t="s">
        <v>134</v>
      </c>
      <c r="AV166" s="53">
        <f t="shared" si="196"/>
        <v>0</v>
      </c>
      <c r="AW166" s="53">
        <f t="shared" si="197"/>
        <v>0</v>
      </c>
      <c r="AX166" s="53">
        <f t="shared" si="198"/>
        <v>0</v>
      </c>
      <c r="AY166" s="54" t="s">
        <v>555</v>
      </c>
      <c r="AZ166" s="54" t="s">
        <v>325</v>
      </c>
      <c r="BA166" s="36" t="s">
        <v>116</v>
      </c>
      <c r="BC166" s="53">
        <f t="shared" si="199"/>
        <v>0</v>
      </c>
      <c r="BD166" s="53">
        <f t="shared" si="200"/>
        <v>0</v>
      </c>
      <c r="BE166" s="53">
        <v>0</v>
      </c>
      <c r="BF166" s="53">
        <f>166</f>
        <v>166</v>
      </c>
      <c r="BH166" s="53">
        <f t="shared" si="201"/>
        <v>0</v>
      </c>
      <c r="BI166" s="53">
        <f t="shared" si="202"/>
        <v>0</v>
      </c>
      <c r="BJ166" s="53">
        <f t="shared" si="203"/>
        <v>0</v>
      </c>
      <c r="BK166" s="54" t="s">
        <v>117</v>
      </c>
      <c r="BL166" s="53">
        <v>728</v>
      </c>
      <c r="BW166" s="53">
        <v>21</v>
      </c>
      <c r="BX166" s="3" t="s">
        <v>575</v>
      </c>
    </row>
    <row r="167" spans="1:76" ht="25" x14ac:dyDescent="0.35">
      <c r="A167" s="1" t="s">
        <v>576</v>
      </c>
      <c r="B167" s="2" t="s">
        <v>577</v>
      </c>
      <c r="C167" s="91" t="s">
        <v>578</v>
      </c>
      <c r="D167" s="88"/>
      <c r="E167" s="2" t="s">
        <v>113</v>
      </c>
      <c r="F167" s="53">
        <v>212</v>
      </c>
      <c r="G167" s="77">
        <v>0</v>
      </c>
      <c r="H167" s="53">
        <f t="shared" si="184"/>
        <v>0</v>
      </c>
      <c r="I167" s="79" t="s">
        <v>1688</v>
      </c>
      <c r="J167" s="49"/>
      <c r="Z167" s="53">
        <f t="shared" si="185"/>
        <v>0</v>
      </c>
      <c r="AB167" s="53">
        <f t="shared" si="186"/>
        <v>0</v>
      </c>
      <c r="AC167" s="53">
        <f t="shared" si="187"/>
        <v>0</v>
      </c>
      <c r="AD167" s="53">
        <f t="shared" si="188"/>
        <v>0</v>
      </c>
      <c r="AE167" s="53">
        <f t="shared" si="189"/>
        <v>0</v>
      </c>
      <c r="AF167" s="53">
        <f t="shared" si="190"/>
        <v>0</v>
      </c>
      <c r="AG167" s="53">
        <f t="shared" si="191"/>
        <v>0</v>
      </c>
      <c r="AH167" s="53">
        <f t="shared" si="192"/>
        <v>0</v>
      </c>
      <c r="AI167" s="36" t="s">
        <v>10</v>
      </c>
      <c r="AJ167" s="53">
        <f t="shared" si="193"/>
        <v>0</v>
      </c>
      <c r="AK167" s="53">
        <f t="shared" si="194"/>
        <v>0</v>
      </c>
      <c r="AL167" s="53">
        <f t="shared" si="195"/>
        <v>0</v>
      </c>
      <c r="AN167" s="53">
        <v>21</v>
      </c>
      <c r="AO167" s="53">
        <f>G167*0.75</f>
        <v>0</v>
      </c>
      <c r="AP167" s="53">
        <f>G167*(1-0.75)</f>
        <v>0</v>
      </c>
      <c r="AQ167" s="54" t="s">
        <v>134</v>
      </c>
      <c r="AV167" s="53">
        <f t="shared" si="196"/>
        <v>0</v>
      </c>
      <c r="AW167" s="53">
        <f t="shared" si="197"/>
        <v>0</v>
      </c>
      <c r="AX167" s="53">
        <f t="shared" si="198"/>
        <v>0</v>
      </c>
      <c r="AY167" s="54" t="s">
        <v>555</v>
      </c>
      <c r="AZ167" s="54" t="s">
        <v>325</v>
      </c>
      <c r="BA167" s="36" t="s">
        <v>116</v>
      </c>
      <c r="BC167" s="53">
        <f t="shared" si="199"/>
        <v>0</v>
      </c>
      <c r="BD167" s="53">
        <f t="shared" si="200"/>
        <v>0</v>
      </c>
      <c r="BE167" s="53">
        <v>0</v>
      </c>
      <c r="BF167" s="53">
        <f>167</f>
        <v>167</v>
      </c>
      <c r="BH167" s="53">
        <f t="shared" si="201"/>
        <v>0</v>
      </c>
      <c r="BI167" s="53">
        <f t="shared" si="202"/>
        <v>0</v>
      </c>
      <c r="BJ167" s="53">
        <f t="shared" si="203"/>
        <v>0</v>
      </c>
      <c r="BK167" s="54" t="s">
        <v>117</v>
      </c>
      <c r="BL167" s="53">
        <v>728</v>
      </c>
      <c r="BW167" s="53">
        <v>21</v>
      </c>
      <c r="BX167" s="3" t="s">
        <v>578</v>
      </c>
    </row>
    <row r="168" spans="1:76" ht="23" x14ac:dyDescent="0.35">
      <c r="A168" s="1" t="s">
        <v>579</v>
      </c>
      <c r="B168" s="2" t="s">
        <v>580</v>
      </c>
      <c r="C168" s="91" t="s">
        <v>581</v>
      </c>
      <c r="D168" s="88"/>
      <c r="E168" s="2" t="s">
        <v>137</v>
      </c>
      <c r="F168" s="53">
        <v>6</v>
      </c>
      <c r="G168" s="77">
        <v>0</v>
      </c>
      <c r="H168" s="53">
        <f t="shared" si="184"/>
        <v>0</v>
      </c>
      <c r="I168" s="79" t="s">
        <v>1688</v>
      </c>
      <c r="J168" s="49"/>
      <c r="Z168" s="53">
        <f t="shared" si="185"/>
        <v>0</v>
      </c>
      <c r="AB168" s="53">
        <f t="shared" si="186"/>
        <v>0</v>
      </c>
      <c r="AC168" s="53">
        <f t="shared" si="187"/>
        <v>0</v>
      </c>
      <c r="AD168" s="53">
        <f t="shared" si="188"/>
        <v>0</v>
      </c>
      <c r="AE168" s="53">
        <f t="shared" si="189"/>
        <v>0</v>
      </c>
      <c r="AF168" s="53">
        <f t="shared" si="190"/>
        <v>0</v>
      </c>
      <c r="AG168" s="53">
        <f t="shared" si="191"/>
        <v>0</v>
      </c>
      <c r="AH168" s="53">
        <f t="shared" si="192"/>
        <v>0</v>
      </c>
      <c r="AI168" s="36" t="s">
        <v>10</v>
      </c>
      <c r="AJ168" s="53">
        <f t="shared" si="193"/>
        <v>0</v>
      </c>
      <c r="AK168" s="53">
        <f t="shared" si="194"/>
        <v>0</v>
      </c>
      <c r="AL168" s="53">
        <f t="shared" si="195"/>
        <v>0</v>
      </c>
      <c r="AN168" s="53">
        <v>21</v>
      </c>
      <c r="AO168" s="53">
        <f>G168*0.539506549</f>
        <v>0</v>
      </c>
      <c r="AP168" s="53">
        <f>G168*(1-0.539506549)</f>
        <v>0</v>
      </c>
      <c r="AQ168" s="54" t="s">
        <v>134</v>
      </c>
      <c r="AV168" s="53">
        <f t="shared" si="196"/>
        <v>0</v>
      </c>
      <c r="AW168" s="53">
        <f t="shared" si="197"/>
        <v>0</v>
      </c>
      <c r="AX168" s="53">
        <f t="shared" si="198"/>
        <v>0</v>
      </c>
      <c r="AY168" s="54" t="s">
        <v>555</v>
      </c>
      <c r="AZ168" s="54" t="s">
        <v>325</v>
      </c>
      <c r="BA168" s="36" t="s">
        <v>116</v>
      </c>
      <c r="BC168" s="53">
        <f t="shared" si="199"/>
        <v>0</v>
      </c>
      <c r="BD168" s="53">
        <f t="shared" si="200"/>
        <v>0</v>
      </c>
      <c r="BE168" s="53">
        <v>0</v>
      </c>
      <c r="BF168" s="53">
        <f>168</f>
        <v>168</v>
      </c>
      <c r="BH168" s="53">
        <f t="shared" si="201"/>
        <v>0</v>
      </c>
      <c r="BI168" s="53">
        <f t="shared" si="202"/>
        <v>0</v>
      </c>
      <c r="BJ168" s="53">
        <f t="shared" si="203"/>
        <v>0</v>
      </c>
      <c r="BK168" s="54" t="s">
        <v>117</v>
      </c>
      <c r="BL168" s="53">
        <v>728</v>
      </c>
      <c r="BW168" s="53">
        <v>21</v>
      </c>
      <c r="BX168" s="3" t="s">
        <v>581</v>
      </c>
    </row>
    <row r="169" spans="1:76" ht="23" x14ac:dyDescent="0.35">
      <c r="A169" s="1" t="s">
        <v>582</v>
      </c>
      <c r="B169" s="2" t="s">
        <v>583</v>
      </c>
      <c r="C169" s="91" t="s">
        <v>584</v>
      </c>
      <c r="D169" s="88"/>
      <c r="E169" s="2" t="s">
        <v>137</v>
      </c>
      <c r="F169" s="53">
        <v>6</v>
      </c>
      <c r="G169" s="77">
        <v>0</v>
      </c>
      <c r="H169" s="53">
        <f t="shared" si="184"/>
        <v>0</v>
      </c>
      <c r="I169" s="79" t="s">
        <v>1688</v>
      </c>
      <c r="J169" s="49"/>
      <c r="Z169" s="53">
        <f t="shared" si="185"/>
        <v>0</v>
      </c>
      <c r="AB169" s="53">
        <f t="shared" si="186"/>
        <v>0</v>
      </c>
      <c r="AC169" s="53">
        <f t="shared" si="187"/>
        <v>0</v>
      </c>
      <c r="AD169" s="53">
        <f t="shared" si="188"/>
        <v>0</v>
      </c>
      <c r="AE169" s="53">
        <f t="shared" si="189"/>
        <v>0</v>
      </c>
      <c r="AF169" s="53">
        <f t="shared" si="190"/>
        <v>0</v>
      </c>
      <c r="AG169" s="53">
        <f t="shared" si="191"/>
        <v>0</v>
      </c>
      <c r="AH169" s="53">
        <f t="shared" si="192"/>
        <v>0</v>
      </c>
      <c r="AI169" s="36" t="s">
        <v>10</v>
      </c>
      <c r="AJ169" s="53">
        <f t="shared" si="193"/>
        <v>0</v>
      </c>
      <c r="AK169" s="53">
        <f t="shared" si="194"/>
        <v>0</v>
      </c>
      <c r="AL169" s="53">
        <f t="shared" si="195"/>
        <v>0</v>
      </c>
      <c r="AN169" s="53">
        <v>21</v>
      </c>
      <c r="AO169" s="53">
        <f>G169*0.627507944</f>
        <v>0</v>
      </c>
      <c r="AP169" s="53">
        <f>G169*(1-0.627507944)</f>
        <v>0</v>
      </c>
      <c r="AQ169" s="54" t="s">
        <v>134</v>
      </c>
      <c r="AV169" s="53">
        <f t="shared" si="196"/>
        <v>0</v>
      </c>
      <c r="AW169" s="53">
        <f t="shared" si="197"/>
        <v>0</v>
      </c>
      <c r="AX169" s="53">
        <f t="shared" si="198"/>
        <v>0</v>
      </c>
      <c r="AY169" s="54" t="s">
        <v>555</v>
      </c>
      <c r="AZ169" s="54" t="s">
        <v>325</v>
      </c>
      <c r="BA169" s="36" t="s">
        <v>116</v>
      </c>
      <c r="BC169" s="53">
        <f t="shared" si="199"/>
        <v>0</v>
      </c>
      <c r="BD169" s="53">
        <f t="shared" si="200"/>
        <v>0</v>
      </c>
      <c r="BE169" s="53">
        <v>0</v>
      </c>
      <c r="BF169" s="53">
        <f>169</f>
        <v>169</v>
      </c>
      <c r="BH169" s="53">
        <f t="shared" si="201"/>
        <v>0</v>
      </c>
      <c r="BI169" s="53">
        <f t="shared" si="202"/>
        <v>0</v>
      </c>
      <c r="BJ169" s="53">
        <f t="shared" si="203"/>
        <v>0</v>
      </c>
      <c r="BK169" s="54" t="s">
        <v>117</v>
      </c>
      <c r="BL169" s="53">
        <v>728</v>
      </c>
      <c r="BW169" s="53">
        <v>21</v>
      </c>
      <c r="BX169" s="3" t="s">
        <v>584</v>
      </c>
    </row>
    <row r="170" spans="1:76" ht="23" x14ac:dyDescent="0.35">
      <c r="A170" s="1" t="s">
        <v>585</v>
      </c>
      <c r="B170" s="2" t="s">
        <v>586</v>
      </c>
      <c r="C170" s="91" t="s">
        <v>587</v>
      </c>
      <c r="D170" s="88"/>
      <c r="E170" s="2" t="s">
        <v>137</v>
      </c>
      <c r="F170" s="53">
        <v>18</v>
      </c>
      <c r="G170" s="77">
        <v>0</v>
      </c>
      <c r="H170" s="53">
        <f t="shared" si="184"/>
        <v>0</v>
      </c>
      <c r="I170" s="79" t="s">
        <v>1688</v>
      </c>
      <c r="J170" s="49"/>
      <c r="Z170" s="53">
        <f t="shared" si="185"/>
        <v>0</v>
      </c>
      <c r="AB170" s="53">
        <f t="shared" si="186"/>
        <v>0</v>
      </c>
      <c r="AC170" s="53">
        <f t="shared" si="187"/>
        <v>0</v>
      </c>
      <c r="AD170" s="53">
        <f t="shared" si="188"/>
        <v>0</v>
      </c>
      <c r="AE170" s="53">
        <f t="shared" si="189"/>
        <v>0</v>
      </c>
      <c r="AF170" s="53">
        <f t="shared" si="190"/>
        <v>0</v>
      </c>
      <c r="AG170" s="53">
        <f t="shared" si="191"/>
        <v>0</v>
      </c>
      <c r="AH170" s="53">
        <f t="shared" si="192"/>
        <v>0</v>
      </c>
      <c r="AI170" s="36" t="s">
        <v>10</v>
      </c>
      <c r="AJ170" s="53">
        <f t="shared" si="193"/>
        <v>0</v>
      </c>
      <c r="AK170" s="53">
        <f t="shared" si="194"/>
        <v>0</v>
      </c>
      <c r="AL170" s="53">
        <f t="shared" si="195"/>
        <v>0</v>
      </c>
      <c r="AN170" s="53">
        <v>21</v>
      </c>
      <c r="AO170" s="53">
        <f>G170*0.693333333</f>
        <v>0</v>
      </c>
      <c r="AP170" s="53">
        <f>G170*(1-0.693333333)</f>
        <v>0</v>
      </c>
      <c r="AQ170" s="54" t="s">
        <v>134</v>
      </c>
      <c r="AV170" s="53">
        <f t="shared" si="196"/>
        <v>0</v>
      </c>
      <c r="AW170" s="53">
        <f t="shared" si="197"/>
        <v>0</v>
      </c>
      <c r="AX170" s="53">
        <f t="shared" si="198"/>
        <v>0</v>
      </c>
      <c r="AY170" s="54" t="s">
        <v>555</v>
      </c>
      <c r="AZ170" s="54" t="s">
        <v>325</v>
      </c>
      <c r="BA170" s="36" t="s">
        <v>116</v>
      </c>
      <c r="BC170" s="53">
        <f t="shared" si="199"/>
        <v>0</v>
      </c>
      <c r="BD170" s="53">
        <f t="shared" si="200"/>
        <v>0</v>
      </c>
      <c r="BE170" s="53">
        <v>0</v>
      </c>
      <c r="BF170" s="53">
        <f>170</f>
        <v>170</v>
      </c>
      <c r="BH170" s="53">
        <f t="shared" si="201"/>
        <v>0</v>
      </c>
      <c r="BI170" s="53">
        <f t="shared" si="202"/>
        <v>0</v>
      </c>
      <c r="BJ170" s="53">
        <f t="shared" si="203"/>
        <v>0</v>
      </c>
      <c r="BK170" s="54" t="s">
        <v>117</v>
      </c>
      <c r="BL170" s="53">
        <v>728</v>
      </c>
      <c r="BW170" s="53">
        <v>21</v>
      </c>
      <c r="BX170" s="3" t="s">
        <v>587</v>
      </c>
    </row>
    <row r="171" spans="1:76" ht="23" x14ac:dyDescent="0.35">
      <c r="A171" s="1" t="s">
        <v>588</v>
      </c>
      <c r="B171" s="2" t="s">
        <v>589</v>
      </c>
      <c r="C171" s="91" t="s">
        <v>590</v>
      </c>
      <c r="D171" s="88"/>
      <c r="E171" s="2" t="s">
        <v>137</v>
      </c>
      <c r="F171" s="53">
        <v>32</v>
      </c>
      <c r="G171" s="77">
        <v>0</v>
      </c>
      <c r="H171" s="53">
        <f t="shared" si="184"/>
        <v>0</v>
      </c>
      <c r="I171" s="79" t="s">
        <v>1688</v>
      </c>
      <c r="J171" s="49"/>
      <c r="Z171" s="53">
        <f t="shared" si="185"/>
        <v>0</v>
      </c>
      <c r="AB171" s="53">
        <f t="shared" si="186"/>
        <v>0</v>
      </c>
      <c r="AC171" s="53">
        <f t="shared" si="187"/>
        <v>0</v>
      </c>
      <c r="AD171" s="53">
        <f t="shared" si="188"/>
        <v>0</v>
      </c>
      <c r="AE171" s="53">
        <f t="shared" si="189"/>
        <v>0</v>
      </c>
      <c r="AF171" s="53">
        <f t="shared" si="190"/>
        <v>0</v>
      </c>
      <c r="AG171" s="53">
        <f t="shared" si="191"/>
        <v>0</v>
      </c>
      <c r="AH171" s="53">
        <f t="shared" si="192"/>
        <v>0</v>
      </c>
      <c r="AI171" s="36" t="s">
        <v>10</v>
      </c>
      <c r="AJ171" s="53">
        <f t="shared" si="193"/>
        <v>0</v>
      </c>
      <c r="AK171" s="53">
        <f t="shared" si="194"/>
        <v>0</v>
      </c>
      <c r="AL171" s="53">
        <f t="shared" si="195"/>
        <v>0</v>
      </c>
      <c r="AN171" s="53">
        <v>21</v>
      </c>
      <c r="AO171" s="53">
        <f>G171*0.563090315</f>
        <v>0</v>
      </c>
      <c r="AP171" s="53">
        <f>G171*(1-0.563090315)</f>
        <v>0</v>
      </c>
      <c r="AQ171" s="54" t="s">
        <v>134</v>
      </c>
      <c r="AV171" s="53">
        <f t="shared" si="196"/>
        <v>0</v>
      </c>
      <c r="AW171" s="53">
        <f t="shared" si="197"/>
        <v>0</v>
      </c>
      <c r="AX171" s="53">
        <f t="shared" si="198"/>
        <v>0</v>
      </c>
      <c r="AY171" s="54" t="s">
        <v>555</v>
      </c>
      <c r="AZ171" s="54" t="s">
        <v>325</v>
      </c>
      <c r="BA171" s="36" t="s">
        <v>116</v>
      </c>
      <c r="BC171" s="53">
        <f t="shared" si="199"/>
        <v>0</v>
      </c>
      <c r="BD171" s="53">
        <f t="shared" si="200"/>
        <v>0</v>
      </c>
      <c r="BE171" s="53">
        <v>0</v>
      </c>
      <c r="BF171" s="53">
        <f>171</f>
        <v>171</v>
      </c>
      <c r="BH171" s="53">
        <f t="shared" si="201"/>
        <v>0</v>
      </c>
      <c r="BI171" s="53">
        <f t="shared" si="202"/>
        <v>0</v>
      </c>
      <c r="BJ171" s="53">
        <f t="shared" si="203"/>
        <v>0</v>
      </c>
      <c r="BK171" s="54" t="s">
        <v>117</v>
      </c>
      <c r="BL171" s="53">
        <v>728</v>
      </c>
      <c r="BW171" s="53">
        <v>21</v>
      </c>
      <c r="BX171" s="3" t="s">
        <v>590</v>
      </c>
    </row>
    <row r="172" spans="1:76" ht="23" x14ac:dyDescent="0.35">
      <c r="A172" s="1" t="s">
        <v>591</v>
      </c>
      <c r="B172" s="2" t="s">
        <v>592</v>
      </c>
      <c r="C172" s="91" t="s">
        <v>593</v>
      </c>
      <c r="D172" s="88"/>
      <c r="E172" s="2" t="s">
        <v>137</v>
      </c>
      <c r="F172" s="53">
        <v>18</v>
      </c>
      <c r="G172" s="77">
        <v>0</v>
      </c>
      <c r="H172" s="53">
        <f t="shared" si="184"/>
        <v>0</v>
      </c>
      <c r="I172" s="79" t="s">
        <v>1688</v>
      </c>
      <c r="J172" s="49"/>
      <c r="Z172" s="53">
        <f t="shared" si="185"/>
        <v>0</v>
      </c>
      <c r="AB172" s="53">
        <f t="shared" si="186"/>
        <v>0</v>
      </c>
      <c r="AC172" s="53">
        <f t="shared" si="187"/>
        <v>0</v>
      </c>
      <c r="AD172" s="53">
        <f t="shared" si="188"/>
        <v>0</v>
      </c>
      <c r="AE172" s="53">
        <f t="shared" si="189"/>
        <v>0</v>
      </c>
      <c r="AF172" s="53">
        <f t="shared" si="190"/>
        <v>0</v>
      </c>
      <c r="AG172" s="53">
        <f t="shared" si="191"/>
        <v>0</v>
      </c>
      <c r="AH172" s="53">
        <f t="shared" si="192"/>
        <v>0</v>
      </c>
      <c r="AI172" s="36" t="s">
        <v>10</v>
      </c>
      <c r="AJ172" s="53">
        <f t="shared" si="193"/>
        <v>0</v>
      </c>
      <c r="AK172" s="53">
        <f t="shared" si="194"/>
        <v>0</v>
      </c>
      <c r="AL172" s="53">
        <f t="shared" si="195"/>
        <v>0</v>
      </c>
      <c r="AN172" s="53">
        <v>21</v>
      </c>
      <c r="AO172" s="53">
        <f>G172*0.772691139</f>
        <v>0</v>
      </c>
      <c r="AP172" s="53">
        <f>G172*(1-0.772691139)</f>
        <v>0</v>
      </c>
      <c r="AQ172" s="54" t="s">
        <v>134</v>
      </c>
      <c r="AV172" s="53">
        <f t="shared" si="196"/>
        <v>0</v>
      </c>
      <c r="AW172" s="53">
        <f t="shared" si="197"/>
        <v>0</v>
      </c>
      <c r="AX172" s="53">
        <f t="shared" si="198"/>
        <v>0</v>
      </c>
      <c r="AY172" s="54" t="s">
        <v>555</v>
      </c>
      <c r="AZ172" s="54" t="s">
        <v>325</v>
      </c>
      <c r="BA172" s="36" t="s">
        <v>116</v>
      </c>
      <c r="BC172" s="53">
        <f t="shared" si="199"/>
        <v>0</v>
      </c>
      <c r="BD172" s="53">
        <f t="shared" si="200"/>
        <v>0</v>
      </c>
      <c r="BE172" s="53">
        <v>0</v>
      </c>
      <c r="BF172" s="53">
        <f>172</f>
        <v>172</v>
      </c>
      <c r="BH172" s="53">
        <f t="shared" si="201"/>
        <v>0</v>
      </c>
      <c r="BI172" s="53">
        <f t="shared" si="202"/>
        <v>0</v>
      </c>
      <c r="BJ172" s="53">
        <f t="shared" si="203"/>
        <v>0</v>
      </c>
      <c r="BK172" s="54" t="s">
        <v>117</v>
      </c>
      <c r="BL172" s="53">
        <v>728</v>
      </c>
      <c r="BW172" s="53">
        <v>21</v>
      </c>
      <c r="BX172" s="3" t="s">
        <v>593</v>
      </c>
    </row>
    <row r="173" spans="1:76" ht="23" x14ac:dyDescent="0.35">
      <c r="A173" s="1" t="s">
        <v>594</v>
      </c>
      <c r="B173" s="2" t="s">
        <v>595</v>
      </c>
      <c r="C173" s="91" t="s">
        <v>596</v>
      </c>
      <c r="D173" s="88"/>
      <c r="E173" s="2" t="s">
        <v>137</v>
      </c>
      <c r="F173" s="53">
        <v>12</v>
      </c>
      <c r="G173" s="77">
        <v>0</v>
      </c>
      <c r="H173" s="53">
        <f t="shared" si="184"/>
        <v>0</v>
      </c>
      <c r="I173" s="79" t="s">
        <v>1688</v>
      </c>
      <c r="J173" s="49"/>
      <c r="Z173" s="53">
        <f t="shared" si="185"/>
        <v>0</v>
      </c>
      <c r="AB173" s="53">
        <f t="shared" si="186"/>
        <v>0</v>
      </c>
      <c r="AC173" s="53">
        <f t="shared" si="187"/>
        <v>0</v>
      </c>
      <c r="AD173" s="53">
        <f t="shared" si="188"/>
        <v>0</v>
      </c>
      <c r="AE173" s="53">
        <f t="shared" si="189"/>
        <v>0</v>
      </c>
      <c r="AF173" s="53">
        <f t="shared" si="190"/>
        <v>0</v>
      </c>
      <c r="AG173" s="53">
        <f t="shared" si="191"/>
        <v>0</v>
      </c>
      <c r="AH173" s="53">
        <f t="shared" si="192"/>
        <v>0</v>
      </c>
      <c r="AI173" s="36" t="s">
        <v>10</v>
      </c>
      <c r="AJ173" s="53">
        <f t="shared" si="193"/>
        <v>0</v>
      </c>
      <c r="AK173" s="53">
        <f t="shared" si="194"/>
        <v>0</v>
      </c>
      <c r="AL173" s="53">
        <f t="shared" si="195"/>
        <v>0</v>
      </c>
      <c r="AN173" s="53">
        <v>21</v>
      </c>
      <c r="AO173" s="53">
        <f>G173*0.554462005</f>
        <v>0</v>
      </c>
      <c r="AP173" s="53">
        <f>G173*(1-0.554462005)</f>
        <v>0</v>
      </c>
      <c r="AQ173" s="54" t="s">
        <v>134</v>
      </c>
      <c r="AV173" s="53">
        <f t="shared" si="196"/>
        <v>0</v>
      </c>
      <c r="AW173" s="53">
        <f t="shared" si="197"/>
        <v>0</v>
      </c>
      <c r="AX173" s="53">
        <f t="shared" si="198"/>
        <v>0</v>
      </c>
      <c r="AY173" s="54" t="s">
        <v>555</v>
      </c>
      <c r="AZ173" s="54" t="s">
        <v>325</v>
      </c>
      <c r="BA173" s="36" t="s">
        <v>116</v>
      </c>
      <c r="BC173" s="53">
        <f t="shared" si="199"/>
        <v>0</v>
      </c>
      <c r="BD173" s="53">
        <f t="shared" si="200"/>
        <v>0</v>
      </c>
      <c r="BE173" s="53">
        <v>0</v>
      </c>
      <c r="BF173" s="53">
        <f>173</f>
        <v>173</v>
      </c>
      <c r="BH173" s="53">
        <f t="shared" si="201"/>
        <v>0</v>
      </c>
      <c r="BI173" s="53">
        <f t="shared" si="202"/>
        <v>0</v>
      </c>
      <c r="BJ173" s="53">
        <f t="shared" si="203"/>
        <v>0</v>
      </c>
      <c r="BK173" s="54" t="s">
        <v>117</v>
      </c>
      <c r="BL173" s="53">
        <v>728</v>
      </c>
      <c r="BW173" s="53">
        <v>21</v>
      </c>
      <c r="BX173" s="3" t="s">
        <v>596</v>
      </c>
    </row>
    <row r="174" spans="1:76" ht="23" x14ac:dyDescent="0.35">
      <c r="A174" s="1" t="s">
        <v>597</v>
      </c>
      <c r="B174" s="2" t="s">
        <v>598</v>
      </c>
      <c r="C174" s="91" t="s">
        <v>599</v>
      </c>
      <c r="D174" s="88"/>
      <c r="E174" s="2" t="s">
        <v>434</v>
      </c>
      <c r="F174" s="53">
        <v>7</v>
      </c>
      <c r="G174" s="77">
        <v>0</v>
      </c>
      <c r="H174" s="53">
        <f t="shared" si="184"/>
        <v>0</v>
      </c>
      <c r="I174" s="79" t="s">
        <v>1688</v>
      </c>
      <c r="J174" s="49"/>
      <c r="Z174" s="53">
        <f t="shared" si="185"/>
        <v>0</v>
      </c>
      <c r="AB174" s="53">
        <f t="shared" si="186"/>
        <v>0</v>
      </c>
      <c r="AC174" s="53">
        <f t="shared" si="187"/>
        <v>0</v>
      </c>
      <c r="AD174" s="53">
        <f t="shared" si="188"/>
        <v>0</v>
      </c>
      <c r="AE174" s="53">
        <f t="shared" si="189"/>
        <v>0</v>
      </c>
      <c r="AF174" s="53">
        <f t="shared" si="190"/>
        <v>0</v>
      </c>
      <c r="AG174" s="53">
        <f t="shared" si="191"/>
        <v>0</v>
      </c>
      <c r="AH174" s="53">
        <f t="shared" si="192"/>
        <v>0</v>
      </c>
      <c r="AI174" s="36" t="s">
        <v>10</v>
      </c>
      <c r="AJ174" s="53">
        <f t="shared" si="193"/>
        <v>0</v>
      </c>
      <c r="AK174" s="53">
        <f t="shared" si="194"/>
        <v>0</v>
      </c>
      <c r="AL174" s="53">
        <f t="shared" si="195"/>
        <v>0</v>
      </c>
      <c r="AN174" s="53">
        <v>21</v>
      </c>
      <c r="AO174" s="53">
        <f>G174*0.750023914</f>
        <v>0</v>
      </c>
      <c r="AP174" s="53">
        <f>G174*(1-0.750023914)</f>
        <v>0</v>
      </c>
      <c r="AQ174" s="54" t="s">
        <v>134</v>
      </c>
      <c r="AV174" s="53">
        <f t="shared" si="196"/>
        <v>0</v>
      </c>
      <c r="AW174" s="53">
        <f t="shared" si="197"/>
        <v>0</v>
      </c>
      <c r="AX174" s="53">
        <f t="shared" si="198"/>
        <v>0</v>
      </c>
      <c r="AY174" s="54" t="s">
        <v>555</v>
      </c>
      <c r="AZ174" s="54" t="s">
        <v>325</v>
      </c>
      <c r="BA174" s="36" t="s">
        <v>116</v>
      </c>
      <c r="BC174" s="53">
        <f t="shared" si="199"/>
        <v>0</v>
      </c>
      <c r="BD174" s="53">
        <f t="shared" si="200"/>
        <v>0</v>
      </c>
      <c r="BE174" s="53">
        <v>0</v>
      </c>
      <c r="BF174" s="53">
        <f>174</f>
        <v>174</v>
      </c>
      <c r="BH174" s="53">
        <f t="shared" si="201"/>
        <v>0</v>
      </c>
      <c r="BI174" s="53">
        <f t="shared" si="202"/>
        <v>0</v>
      </c>
      <c r="BJ174" s="53">
        <f t="shared" si="203"/>
        <v>0</v>
      </c>
      <c r="BK174" s="54" t="s">
        <v>117</v>
      </c>
      <c r="BL174" s="53">
        <v>728</v>
      </c>
      <c r="BW174" s="53">
        <v>21</v>
      </c>
      <c r="BX174" s="3" t="s">
        <v>599</v>
      </c>
    </row>
    <row r="175" spans="1:76" ht="23" x14ac:dyDescent="0.35">
      <c r="A175" s="1" t="s">
        <v>600</v>
      </c>
      <c r="B175" s="2" t="s">
        <v>598</v>
      </c>
      <c r="C175" s="91" t="s">
        <v>601</v>
      </c>
      <c r="D175" s="88"/>
      <c r="E175" s="2" t="s">
        <v>434</v>
      </c>
      <c r="F175" s="53">
        <v>6</v>
      </c>
      <c r="G175" s="77">
        <v>0</v>
      </c>
      <c r="H175" s="53">
        <f t="shared" si="184"/>
        <v>0</v>
      </c>
      <c r="I175" s="79" t="s">
        <v>1688</v>
      </c>
      <c r="J175" s="49"/>
      <c r="Z175" s="53">
        <f t="shared" si="185"/>
        <v>0</v>
      </c>
      <c r="AB175" s="53">
        <f t="shared" si="186"/>
        <v>0</v>
      </c>
      <c r="AC175" s="53">
        <f t="shared" si="187"/>
        <v>0</v>
      </c>
      <c r="AD175" s="53">
        <f t="shared" si="188"/>
        <v>0</v>
      </c>
      <c r="AE175" s="53">
        <f t="shared" si="189"/>
        <v>0</v>
      </c>
      <c r="AF175" s="53">
        <f t="shared" si="190"/>
        <v>0</v>
      </c>
      <c r="AG175" s="53">
        <f t="shared" si="191"/>
        <v>0</v>
      </c>
      <c r="AH175" s="53">
        <f t="shared" si="192"/>
        <v>0</v>
      </c>
      <c r="AI175" s="36" t="s">
        <v>10</v>
      </c>
      <c r="AJ175" s="53">
        <f t="shared" si="193"/>
        <v>0</v>
      </c>
      <c r="AK175" s="53">
        <f t="shared" si="194"/>
        <v>0</v>
      </c>
      <c r="AL175" s="53">
        <f t="shared" si="195"/>
        <v>0</v>
      </c>
      <c r="AN175" s="53">
        <v>21</v>
      </c>
      <c r="AO175" s="53">
        <f>G175*0.750012683</f>
        <v>0</v>
      </c>
      <c r="AP175" s="53">
        <f>G175*(1-0.750012683)</f>
        <v>0</v>
      </c>
      <c r="AQ175" s="54" t="s">
        <v>134</v>
      </c>
      <c r="AV175" s="53">
        <f t="shared" si="196"/>
        <v>0</v>
      </c>
      <c r="AW175" s="53">
        <f t="shared" si="197"/>
        <v>0</v>
      </c>
      <c r="AX175" s="53">
        <f t="shared" si="198"/>
        <v>0</v>
      </c>
      <c r="AY175" s="54" t="s">
        <v>555</v>
      </c>
      <c r="AZ175" s="54" t="s">
        <v>325</v>
      </c>
      <c r="BA175" s="36" t="s">
        <v>116</v>
      </c>
      <c r="BC175" s="53">
        <f t="shared" si="199"/>
        <v>0</v>
      </c>
      <c r="BD175" s="53">
        <f t="shared" si="200"/>
        <v>0</v>
      </c>
      <c r="BE175" s="53">
        <v>0</v>
      </c>
      <c r="BF175" s="53">
        <f>175</f>
        <v>175</v>
      </c>
      <c r="BH175" s="53">
        <f t="shared" si="201"/>
        <v>0</v>
      </c>
      <c r="BI175" s="53">
        <f t="shared" si="202"/>
        <v>0</v>
      </c>
      <c r="BJ175" s="53">
        <f t="shared" si="203"/>
        <v>0</v>
      </c>
      <c r="BK175" s="54" t="s">
        <v>117</v>
      </c>
      <c r="BL175" s="53">
        <v>728</v>
      </c>
      <c r="BW175" s="53">
        <v>21</v>
      </c>
      <c r="BX175" s="3" t="s">
        <v>601</v>
      </c>
    </row>
    <row r="176" spans="1:76" ht="23" x14ac:dyDescent="0.35">
      <c r="A176" s="1" t="s">
        <v>602</v>
      </c>
      <c r="B176" s="2" t="s">
        <v>603</v>
      </c>
      <c r="C176" s="91" t="s">
        <v>604</v>
      </c>
      <c r="D176" s="88"/>
      <c r="E176" s="2" t="s">
        <v>434</v>
      </c>
      <c r="F176" s="53">
        <v>10</v>
      </c>
      <c r="G176" s="77">
        <v>0</v>
      </c>
      <c r="H176" s="53">
        <f t="shared" si="184"/>
        <v>0</v>
      </c>
      <c r="I176" s="79" t="s">
        <v>1688</v>
      </c>
      <c r="J176" s="49"/>
      <c r="Z176" s="53">
        <f t="shared" si="185"/>
        <v>0</v>
      </c>
      <c r="AB176" s="53">
        <f t="shared" si="186"/>
        <v>0</v>
      </c>
      <c r="AC176" s="53">
        <f t="shared" si="187"/>
        <v>0</v>
      </c>
      <c r="AD176" s="53">
        <f t="shared" si="188"/>
        <v>0</v>
      </c>
      <c r="AE176" s="53">
        <f t="shared" si="189"/>
        <v>0</v>
      </c>
      <c r="AF176" s="53">
        <f t="shared" si="190"/>
        <v>0</v>
      </c>
      <c r="AG176" s="53">
        <f t="shared" si="191"/>
        <v>0</v>
      </c>
      <c r="AH176" s="53">
        <f t="shared" si="192"/>
        <v>0</v>
      </c>
      <c r="AI176" s="36" t="s">
        <v>10</v>
      </c>
      <c r="AJ176" s="53">
        <f t="shared" si="193"/>
        <v>0</v>
      </c>
      <c r="AK176" s="53">
        <f t="shared" si="194"/>
        <v>0</v>
      </c>
      <c r="AL176" s="53">
        <f t="shared" si="195"/>
        <v>0</v>
      </c>
      <c r="AN176" s="53">
        <v>21</v>
      </c>
      <c r="AO176" s="53">
        <f>G176*0.75</f>
        <v>0</v>
      </c>
      <c r="AP176" s="53">
        <f>G176*(1-0.75)</f>
        <v>0</v>
      </c>
      <c r="AQ176" s="54" t="s">
        <v>134</v>
      </c>
      <c r="AV176" s="53">
        <f t="shared" si="196"/>
        <v>0</v>
      </c>
      <c r="AW176" s="53">
        <f t="shared" si="197"/>
        <v>0</v>
      </c>
      <c r="AX176" s="53">
        <f t="shared" si="198"/>
        <v>0</v>
      </c>
      <c r="AY176" s="54" t="s">
        <v>555</v>
      </c>
      <c r="AZ176" s="54" t="s">
        <v>325</v>
      </c>
      <c r="BA176" s="36" t="s">
        <v>116</v>
      </c>
      <c r="BC176" s="53">
        <f t="shared" si="199"/>
        <v>0</v>
      </c>
      <c r="BD176" s="53">
        <f t="shared" si="200"/>
        <v>0</v>
      </c>
      <c r="BE176" s="53">
        <v>0</v>
      </c>
      <c r="BF176" s="53">
        <f>176</f>
        <v>176</v>
      </c>
      <c r="BH176" s="53">
        <f t="shared" si="201"/>
        <v>0</v>
      </c>
      <c r="BI176" s="53">
        <f t="shared" si="202"/>
        <v>0</v>
      </c>
      <c r="BJ176" s="53">
        <f t="shared" si="203"/>
        <v>0</v>
      </c>
      <c r="BK176" s="54" t="s">
        <v>117</v>
      </c>
      <c r="BL176" s="53">
        <v>728</v>
      </c>
      <c r="BW176" s="53">
        <v>21</v>
      </c>
      <c r="BX176" s="3" t="s">
        <v>604</v>
      </c>
    </row>
    <row r="177" spans="1:76" ht="23" x14ac:dyDescent="0.35">
      <c r="A177" s="1" t="s">
        <v>605</v>
      </c>
      <c r="B177" s="2" t="s">
        <v>606</v>
      </c>
      <c r="C177" s="91" t="s">
        <v>607</v>
      </c>
      <c r="D177" s="88"/>
      <c r="E177" s="2" t="s">
        <v>434</v>
      </c>
      <c r="F177" s="53">
        <v>40</v>
      </c>
      <c r="G177" s="77">
        <v>0</v>
      </c>
      <c r="H177" s="53">
        <f t="shared" si="184"/>
        <v>0</v>
      </c>
      <c r="I177" s="79" t="s">
        <v>1688</v>
      </c>
      <c r="J177" s="49"/>
      <c r="Z177" s="53">
        <f t="shared" si="185"/>
        <v>0</v>
      </c>
      <c r="AB177" s="53">
        <f t="shared" si="186"/>
        <v>0</v>
      </c>
      <c r="AC177" s="53">
        <f t="shared" si="187"/>
        <v>0</v>
      </c>
      <c r="AD177" s="53">
        <f t="shared" si="188"/>
        <v>0</v>
      </c>
      <c r="AE177" s="53">
        <f t="shared" si="189"/>
        <v>0</v>
      </c>
      <c r="AF177" s="53">
        <f t="shared" si="190"/>
        <v>0</v>
      </c>
      <c r="AG177" s="53">
        <f t="shared" si="191"/>
        <v>0</v>
      </c>
      <c r="AH177" s="53">
        <f t="shared" si="192"/>
        <v>0</v>
      </c>
      <c r="AI177" s="36" t="s">
        <v>10</v>
      </c>
      <c r="AJ177" s="53">
        <f t="shared" si="193"/>
        <v>0</v>
      </c>
      <c r="AK177" s="53">
        <f t="shared" si="194"/>
        <v>0</v>
      </c>
      <c r="AL177" s="53">
        <f t="shared" si="195"/>
        <v>0</v>
      </c>
      <c r="AN177" s="53">
        <v>21</v>
      </c>
      <c r="AO177" s="53">
        <f>G177*0.764703181</f>
        <v>0</v>
      </c>
      <c r="AP177" s="53">
        <f>G177*(1-0.764703181)</f>
        <v>0</v>
      </c>
      <c r="AQ177" s="54" t="s">
        <v>134</v>
      </c>
      <c r="AV177" s="53">
        <f t="shared" si="196"/>
        <v>0</v>
      </c>
      <c r="AW177" s="53">
        <f t="shared" si="197"/>
        <v>0</v>
      </c>
      <c r="AX177" s="53">
        <f t="shared" si="198"/>
        <v>0</v>
      </c>
      <c r="AY177" s="54" t="s">
        <v>555</v>
      </c>
      <c r="AZ177" s="54" t="s">
        <v>325</v>
      </c>
      <c r="BA177" s="36" t="s">
        <v>116</v>
      </c>
      <c r="BC177" s="53">
        <f t="shared" si="199"/>
        <v>0</v>
      </c>
      <c r="BD177" s="53">
        <f t="shared" si="200"/>
        <v>0</v>
      </c>
      <c r="BE177" s="53">
        <v>0</v>
      </c>
      <c r="BF177" s="53">
        <f>177</f>
        <v>177</v>
      </c>
      <c r="BH177" s="53">
        <f t="shared" si="201"/>
        <v>0</v>
      </c>
      <c r="BI177" s="53">
        <f t="shared" si="202"/>
        <v>0</v>
      </c>
      <c r="BJ177" s="53">
        <f t="shared" si="203"/>
        <v>0</v>
      </c>
      <c r="BK177" s="54" t="s">
        <v>117</v>
      </c>
      <c r="BL177" s="53">
        <v>728</v>
      </c>
      <c r="BW177" s="53">
        <v>21</v>
      </c>
      <c r="BX177" s="3" t="s">
        <v>607</v>
      </c>
    </row>
    <row r="178" spans="1:76" ht="23" x14ac:dyDescent="0.35">
      <c r="A178" s="1" t="s">
        <v>608</v>
      </c>
      <c r="B178" s="2" t="s">
        <v>609</v>
      </c>
      <c r="C178" s="91" t="s">
        <v>610</v>
      </c>
      <c r="D178" s="88"/>
      <c r="E178" s="2" t="s">
        <v>434</v>
      </c>
      <c r="F178" s="53">
        <v>8</v>
      </c>
      <c r="G178" s="77">
        <v>0</v>
      </c>
      <c r="H178" s="53">
        <f t="shared" si="184"/>
        <v>0</v>
      </c>
      <c r="I178" s="79" t="s">
        <v>1688</v>
      </c>
      <c r="J178" s="49"/>
      <c r="Z178" s="53">
        <f t="shared" si="185"/>
        <v>0</v>
      </c>
      <c r="AB178" s="53">
        <f t="shared" si="186"/>
        <v>0</v>
      </c>
      <c r="AC178" s="53">
        <f t="shared" si="187"/>
        <v>0</v>
      </c>
      <c r="AD178" s="53">
        <f t="shared" si="188"/>
        <v>0</v>
      </c>
      <c r="AE178" s="53">
        <f t="shared" si="189"/>
        <v>0</v>
      </c>
      <c r="AF178" s="53">
        <f t="shared" si="190"/>
        <v>0</v>
      </c>
      <c r="AG178" s="53">
        <f t="shared" si="191"/>
        <v>0</v>
      </c>
      <c r="AH178" s="53">
        <f t="shared" si="192"/>
        <v>0</v>
      </c>
      <c r="AI178" s="36" t="s">
        <v>10</v>
      </c>
      <c r="AJ178" s="53">
        <f t="shared" si="193"/>
        <v>0</v>
      </c>
      <c r="AK178" s="53">
        <f t="shared" si="194"/>
        <v>0</v>
      </c>
      <c r="AL178" s="53">
        <f t="shared" si="195"/>
        <v>0</v>
      </c>
      <c r="AN178" s="53">
        <v>21</v>
      </c>
      <c r="AO178" s="53">
        <f>G178*0.316136114</f>
        <v>0</v>
      </c>
      <c r="AP178" s="53">
        <f>G178*(1-0.316136114)</f>
        <v>0</v>
      </c>
      <c r="AQ178" s="54" t="s">
        <v>134</v>
      </c>
      <c r="AV178" s="53">
        <f t="shared" si="196"/>
        <v>0</v>
      </c>
      <c r="AW178" s="53">
        <f t="shared" si="197"/>
        <v>0</v>
      </c>
      <c r="AX178" s="53">
        <f t="shared" si="198"/>
        <v>0</v>
      </c>
      <c r="AY178" s="54" t="s">
        <v>555</v>
      </c>
      <c r="AZ178" s="54" t="s">
        <v>325</v>
      </c>
      <c r="BA178" s="36" t="s">
        <v>116</v>
      </c>
      <c r="BC178" s="53">
        <f t="shared" si="199"/>
        <v>0</v>
      </c>
      <c r="BD178" s="53">
        <f t="shared" si="200"/>
        <v>0</v>
      </c>
      <c r="BE178" s="53">
        <v>0</v>
      </c>
      <c r="BF178" s="53">
        <f>178</f>
        <v>178</v>
      </c>
      <c r="BH178" s="53">
        <f t="shared" si="201"/>
        <v>0</v>
      </c>
      <c r="BI178" s="53">
        <f t="shared" si="202"/>
        <v>0</v>
      </c>
      <c r="BJ178" s="53">
        <f t="shared" si="203"/>
        <v>0</v>
      </c>
      <c r="BK178" s="54" t="s">
        <v>117</v>
      </c>
      <c r="BL178" s="53">
        <v>728</v>
      </c>
      <c r="BW178" s="53">
        <v>21</v>
      </c>
      <c r="BX178" s="3" t="s">
        <v>610</v>
      </c>
    </row>
    <row r="179" spans="1:76" ht="23" x14ac:dyDescent="0.35">
      <c r="A179" s="1" t="s">
        <v>611</v>
      </c>
      <c r="B179" s="2" t="s">
        <v>612</v>
      </c>
      <c r="C179" s="91" t="s">
        <v>613</v>
      </c>
      <c r="D179" s="88"/>
      <c r="E179" s="2" t="s">
        <v>434</v>
      </c>
      <c r="F179" s="53">
        <v>8</v>
      </c>
      <c r="G179" s="77">
        <v>0</v>
      </c>
      <c r="H179" s="53">
        <f t="shared" si="184"/>
        <v>0</v>
      </c>
      <c r="I179" s="79" t="s">
        <v>1688</v>
      </c>
      <c r="J179" s="49"/>
      <c r="Z179" s="53">
        <f t="shared" si="185"/>
        <v>0</v>
      </c>
      <c r="AB179" s="53">
        <f t="shared" si="186"/>
        <v>0</v>
      </c>
      <c r="AC179" s="53">
        <f t="shared" si="187"/>
        <v>0</v>
      </c>
      <c r="AD179" s="53">
        <f t="shared" si="188"/>
        <v>0</v>
      </c>
      <c r="AE179" s="53">
        <f t="shared" si="189"/>
        <v>0</v>
      </c>
      <c r="AF179" s="53">
        <f t="shared" si="190"/>
        <v>0</v>
      </c>
      <c r="AG179" s="53">
        <f t="shared" si="191"/>
        <v>0</v>
      </c>
      <c r="AH179" s="53">
        <f t="shared" si="192"/>
        <v>0</v>
      </c>
      <c r="AI179" s="36" t="s">
        <v>10</v>
      </c>
      <c r="AJ179" s="53">
        <f t="shared" si="193"/>
        <v>0</v>
      </c>
      <c r="AK179" s="53">
        <f t="shared" si="194"/>
        <v>0</v>
      </c>
      <c r="AL179" s="53">
        <f t="shared" si="195"/>
        <v>0</v>
      </c>
      <c r="AN179" s="53">
        <v>21</v>
      </c>
      <c r="AO179" s="53">
        <f>G179*0.316136114</f>
        <v>0</v>
      </c>
      <c r="AP179" s="53">
        <f>G179*(1-0.316136114)</f>
        <v>0</v>
      </c>
      <c r="AQ179" s="54" t="s">
        <v>134</v>
      </c>
      <c r="AV179" s="53">
        <f t="shared" si="196"/>
        <v>0</v>
      </c>
      <c r="AW179" s="53">
        <f t="shared" si="197"/>
        <v>0</v>
      </c>
      <c r="AX179" s="53">
        <f t="shared" si="198"/>
        <v>0</v>
      </c>
      <c r="AY179" s="54" t="s">
        <v>555</v>
      </c>
      <c r="AZ179" s="54" t="s">
        <v>325</v>
      </c>
      <c r="BA179" s="36" t="s">
        <v>116</v>
      </c>
      <c r="BC179" s="53">
        <f t="shared" si="199"/>
        <v>0</v>
      </c>
      <c r="BD179" s="53">
        <f t="shared" si="200"/>
        <v>0</v>
      </c>
      <c r="BE179" s="53">
        <v>0</v>
      </c>
      <c r="BF179" s="53">
        <f>179</f>
        <v>179</v>
      </c>
      <c r="BH179" s="53">
        <f t="shared" si="201"/>
        <v>0</v>
      </c>
      <c r="BI179" s="53">
        <f t="shared" si="202"/>
        <v>0</v>
      </c>
      <c r="BJ179" s="53">
        <f t="shared" si="203"/>
        <v>0</v>
      </c>
      <c r="BK179" s="54" t="s">
        <v>117</v>
      </c>
      <c r="BL179" s="53">
        <v>728</v>
      </c>
      <c r="BW179" s="53">
        <v>21</v>
      </c>
      <c r="BX179" s="3" t="s">
        <v>613</v>
      </c>
    </row>
    <row r="180" spans="1:76" ht="23" x14ac:dyDescent="0.35">
      <c r="A180" s="1" t="s">
        <v>614</v>
      </c>
      <c r="B180" s="2" t="s">
        <v>615</v>
      </c>
      <c r="C180" s="91" t="s">
        <v>616</v>
      </c>
      <c r="D180" s="88"/>
      <c r="E180" s="2" t="s">
        <v>424</v>
      </c>
      <c r="F180" s="53">
        <v>2</v>
      </c>
      <c r="G180" s="77">
        <v>0</v>
      </c>
      <c r="H180" s="53">
        <f t="shared" si="184"/>
        <v>0</v>
      </c>
      <c r="I180" s="79" t="s">
        <v>1688</v>
      </c>
      <c r="J180" s="49"/>
      <c r="Z180" s="53">
        <f t="shared" si="185"/>
        <v>0</v>
      </c>
      <c r="AB180" s="53">
        <f t="shared" si="186"/>
        <v>0</v>
      </c>
      <c r="AC180" s="53">
        <f t="shared" si="187"/>
        <v>0</v>
      </c>
      <c r="AD180" s="53">
        <f t="shared" si="188"/>
        <v>0</v>
      </c>
      <c r="AE180" s="53">
        <f t="shared" si="189"/>
        <v>0</v>
      </c>
      <c r="AF180" s="53">
        <f t="shared" si="190"/>
        <v>0</v>
      </c>
      <c r="AG180" s="53">
        <f t="shared" si="191"/>
        <v>0</v>
      </c>
      <c r="AH180" s="53">
        <f t="shared" si="192"/>
        <v>0</v>
      </c>
      <c r="AI180" s="36" t="s">
        <v>10</v>
      </c>
      <c r="AJ180" s="53">
        <f t="shared" si="193"/>
        <v>0</v>
      </c>
      <c r="AK180" s="53">
        <f t="shared" si="194"/>
        <v>0</v>
      </c>
      <c r="AL180" s="53">
        <f t="shared" si="195"/>
        <v>0</v>
      </c>
      <c r="AN180" s="53">
        <v>21</v>
      </c>
      <c r="AO180" s="53">
        <f>G180*0.810640203</f>
        <v>0</v>
      </c>
      <c r="AP180" s="53">
        <f>G180*(1-0.810640203)</f>
        <v>0</v>
      </c>
      <c r="AQ180" s="54" t="s">
        <v>134</v>
      </c>
      <c r="AV180" s="53">
        <f t="shared" si="196"/>
        <v>0</v>
      </c>
      <c r="AW180" s="53">
        <f t="shared" si="197"/>
        <v>0</v>
      </c>
      <c r="AX180" s="53">
        <f t="shared" si="198"/>
        <v>0</v>
      </c>
      <c r="AY180" s="54" t="s">
        <v>555</v>
      </c>
      <c r="AZ180" s="54" t="s">
        <v>325</v>
      </c>
      <c r="BA180" s="36" t="s">
        <v>116</v>
      </c>
      <c r="BC180" s="53">
        <f t="shared" si="199"/>
        <v>0</v>
      </c>
      <c r="BD180" s="53">
        <f t="shared" si="200"/>
        <v>0</v>
      </c>
      <c r="BE180" s="53">
        <v>0</v>
      </c>
      <c r="BF180" s="53">
        <f>180</f>
        <v>180</v>
      </c>
      <c r="BH180" s="53">
        <f t="shared" si="201"/>
        <v>0</v>
      </c>
      <c r="BI180" s="53">
        <f t="shared" si="202"/>
        <v>0</v>
      </c>
      <c r="BJ180" s="53">
        <f t="shared" si="203"/>
        <v>0</v>
      </c>
      <c r="BK180" s="54" t="s">
        <v>117</v>
      </c>
      <c r="BL180" s="53">
        <v>728</v>
      </c>
      <c r="BW180" s="53">
        <v>21</v>
      </c>
      <c r="BX180" s="3" t="s">
        <v>616</v>
      </c>
    </row>
    <row r="181" spans="1:76" ht="23" x14ac:dyDescent="0.35">
      <c r="A181" s="1" t="s">
        <v>617</v>
      </c>
      <c r="B181" s="2" t="s">
        <v>618</v>
      </c>
      <c r="C181" s="91" t="s">
        <v>619</v>
      </c>
      <c r="D181" s="88"/>
      <c r="E181" s="2" t="s">
        <v>434</v>
      </c>
      <c r="F181" s="53">
        <v>2</v>
      </c>
      <c r="G181" s="77">
        <v>0</v>
      </c>
      <c r="H181" s="53">
        <f t="shared" si="184"/>
        <v>0</v>
      </c>
      <c r="I181" s="79" t="s">
        <v>1688</v>
      </c>
      <c r="J181" s="49"/>
      <c r="Z181" s="53">
        <f t="shared" si="185"/>
        <v>0</v>
      </c>
      <c r="AB181" s="53">
        <f t="shared" si="186"/>
        <v>0</v>
      </c>
      <c r="AC181" s="53">
        <f t="shared" si="187"/>
        <v>0</v>
      </c>
      <c r="AD181" s="53">
        <f t="shared" si="188"/>
        <v>0</v>
      </c>
      <c r="AE181" s="53">
        <f t="shared" si="189"/>
        <v>0</v>
      </c>
      <c r="AF181" s="53">
        <f t="shared" si="190"/>
        <v>0</v>
      </c>
      <c r="AG181" s="53">
        <f t="shared" si="191"/>
        <v>0</v>
      </c>
      <c r="AH181" s="53">
        <f t="shared" si="192"/>
        <v>0</v>
      </c>
      <c r="AI181" s="36" t="s">
        <v>10</v>
      </c>
      <c r="AJ181" s="53">
        <f t="shared" si="193"/>
        <v>0</v>
      </c>
      <c r="AK181" s="53">
        <f t="shared" si="194"/>
        <v>0</v>
      </c>
      <c r="AL181" s="53">
        <f t="shared" si="195"/>
        <v>0</v>
      </c>
      <c r="AN181" s="53">
        <v>21</v>
      </c>
      <c r="AO181" s="53">
        <f>G181*0.763068373</f>
        <v>0</v>
      </c>
      <c r="AP181" s="53">
        <f>G181*(1-0.763068373)</f>
        <v>0</v>
      </c>
      <c r="AQ181" s="54" t="s">
        <v>134</v>
      </c>
      <c r="AV181" s="53">
        <f t="shared" si="196"/>
        <v>0</v>
      </c>
      <c r="AW181" s="53">
        <f t="shared" si="197"/>
        <v>0</v>
      </c>
      <c r="AX181" s="53">
        <f t="shared" si="198"/>
        <v>0</v>
      </c>
      <c r="AY181" s="54" t="s">
        <v>555</v>
      </c>
      <c r="AZ181" s="54" t="s">
        <v>325</v>
      </c>
      <c r="BA181" s="36" t="s">
        <v>116</v>
      </c>
      <c r="BC181" s="53">
        <f t="shared" si="199"/>
        <v>0</v>
      </c>
      <c r="BD181" s="53">
        <f t="shared" si="200"/>
        <v>0</v>
      </c>
      <c r="BE181" s="53">
        <v>0</v>
      </c>
      <c r="BF181" s="53">
        <f>181</f>
        <v>181</v>
      </c>
      <c r="BH181" s="53">
        <f t="shared" si="201"/>
        <v>0</v>
      </c>
      <c r="BI181" s="53">
        <f t="shared" si="202"/>
        <v>0</v>
      </c>
      <c r="BJ181" s="53">
        <f t="shared" si="203"/>
        <v>0</v>
      </c>
      <c r="BK181" s="54" t="s">
        <v>117</v>
      </c>
      <c r="BL181" s="53">
        <v>728</v>
      </c>
      <c r="BW181" s="53">
        <v>21</v>
      </c>
      <c r="BX181" s="3" t="s">
        <v>619</v>
      </c>
    </row>
    <row r="182" spans="1:76" ht="23" x14ac:dyDescent="0.35">
      <c r="A182" s="1" t="s">
        <v>620</v>
      </c>
      <c r="B182" s="2" t="s">
        <v>621</v>
      </c>
      <c r="C182" s="91" t="s">
        <v>622</v>
      </c>
      <c r="D182" s="88"/>
      <c r="E182" s="2" t="s">
        <v>434</v>
      </c>
      <c r="F182" s="53">
        <v>2</v>
      </c>
      <c r="G182" s="77">
        <v>0</v>
      </c>
      <c r="H182" s="53">
        <f t="shared" si="184"/>
        <v>0</v>
      </c>
      <c r="I182" s="79" t="s">
        <v>1688</v>
      </c>
      <c r="J182" s="49"/>
      <c r="Z182" s="53">
        <f t="shared" si="185"/>
        <v>0</v>
      </c>
      <c r="AB182" s="53">
        <f t="shared" si="186"/>
        <v>0</v>
      </c>
      <c r="AC182" s="53">
        <f t="shared" si="187"/>
        <v>0</v>
      </c>
      <c r="AD182" s="53">
        <f t="shared" si="188"/>
        <v>0</v>
      </c>
      <c r="AE182" s="53">
        <f t="shared" si="189"/>
        <v>0</v>
      </c>
      <c r="AF182" s="53">
        <f t="shared" si="190"/>
        <v>0</v>
      </c>
      <c r="AG182" s="53">
        <f t="shared" si="191"/>
        <v>0</v>
      </c>
      <c r="AH182" s="53">
        <f t="shared" si="192"/>
        <v>0</v>
      </c>
      <c r="AI182" s="36" t="s">
        <v>10</v>
      </c>
      <c r="AJ182" s="53">
        <f t="shared" si="193"/>
        <v>0</v>
      </c>
      <c r="AK182" s="53">
        <f t="shared" si="194"/>
        <v>0</v>
      </c>
      <c r="AL182" s="53">
        <f t="shared" si="195"/>
        <v>0</v>
      </c>
      <c r="AN182" s="53">
        <v>21</v>
      </c>
      <c r="AO182" s="53">
        <f>G182*0.760334967</f>
        <v>0</v>
      </c>
      <c r="AP182" s="53">
        <f>G182*(1-0.760334967)</f>
        <v>0</v>
      </c>
      <c r="AQ182" s="54" t="s">
        <v>134</v>
      </c>
      <c r="AV182" s="53">
        <f t="shared" si="196"/>
        <v>0</v>
      </c>
      <c r="AW182" s="53">
        <f t="shared" si="197"/>
        <v>0</v>
      </c>
      <c r="AX182" s="53">
        <f t="shared" si="198"/>
        <v>0</v>
      </c>
      <c r="AY182" s="54" t="s">
        <v>555</v>
      </c>
      <c r="AZ182" s="54" t="s">
        <v>325</v>
      </c>
      <c r="BA182" s="36" t="s">
        <v>116</v>
      </c>
      <c r="BC182" s="53">
        <f t="shared" si="199"/>
        <v>0</v>
      </c>
      <c r="BD182" s="53">
        <f t="shared" si="200"/>
        <v>0</v>
      </c>
      <c r="BE182" s="53">
        <v>0</v>
      </c>
      <c r="BF182" s="53">
        <f>182</f>
        <v>182</v>
      </c>
      <c r="BH182" s="53">
        <f t="shared" si="201"/>
        <v>0</v>
      </c>
      <c r="BI182" s="53">
        <f t="shared" si="202"/>
        <v>0</v>
      </c>
      <c r="BJ182" s="53">
        <f t="shared" si="203"/>
        <v>0</v>
      </c>
      <c r="BK182" s="54" t="s">
        <v>117</v>
      </c>
      <c r="BL182" s="53">
        <v>728</v>
      </c>
      <c r="BW182" s="53">
        <v>21</v>
      </c>
      <c r="BX182" s="3" t="s">
        <v>622</v>
      </c>
    </row>
    <row r="183" spans="1:76" ht="23" x14ac:dyDescent="0.35">
      <c r="A183" s="1" t="s">
        <v>623</v>
      </c>
      <c r="B183" s="2" t="s">
        <v>624</v>
      </c>
      <c r="C183" s="91" t="s">
        <v>625</v>
      </c>
      <c r="D183" s="88"/>
      <c r="E183" s="2" t="s">
        <v>434</v>
      </c>
      <c r="F183" s="53">
        <v>2</v>
      </c>
      <c r="G183" s="77">
        <v>0</v>
      </c>
      <c r="H183" s="53">
        <f t="shared" si="184"/>
        <v>0</v>
      </c>
      <c r="I183" s="79" t="s">
        <v>1688</v>
      </c>
      <c r="J183" s="49"/>
      <c r="Z183" s="53">
        <f t="shared" si="185"/>
        <v>0</v>
      </c>
      <c r="AB183" s="53">
        <f t="shared" si="186"/>
        <v>0</v>
      </c>
      <c r="AC183" s="53">
        <f t="shared" si="187"/>
        <v>0</v>
      </c>
      <c r="AD183" s="53">
        <f t="shared" si="188"/>
        <v>0</v>
      </c>
      <c r="AE183" s="53">
        <f t="shared" si="189"/>
        <v>0</v>
      </c>
      <c r="AF183" s="53">
        <f t="shared" si="190"/>
        <v>0</v>
      </c>
      <c r="AG183" s="53">
        <f t="shared" si="191"/>
        <v>0</v>
      </c>
      <c r="AH183" s="53">
        <f t="shared" si="192"/>
        <v>0</v>
      </c>
      <c r="AI183" s="36" t="s">
        <v>10</v>
      </c>
      <c r="AJ183" s="53">
        <f t="shared" si="193"/>
        <v>0</v>
      </c>
      <c r="AK183" s="53">
        <f t="shared" si="194"/>
        <v>0</v>
      </c>
      <c r="AL183" s="53">
        <f t="shared" si="195"/>
        <v>0</v>
      </c>
      <c r="AN183" s="53">
        <v>21</v>
      </c>
      <c r="AO183" s="53">
        <f>G183*0.776894949</f>
        <v>0</v>
      </c>
      <c r="AP183" s="53">
        <f>G183*(1-0.776894949)</f>
        <v>0</v>
      </c>
      <c r="AQ183" s="54" t="s">
        <v>134</v>
      </c>
      <c r="AV183" s="53">
        <f t="shared" si="196"/>
        <v>0</v>
      </c>
      <c r="AW183" s="53">
        <f t="shared" si="197"/>
        <v>0</v>
      </c>
      <c r="AX183" s="53">
        <f t="shared" si="198"/>
        <v>0</v>
      </c>
      <c r="AY183" s="54" t="s">
        <v>555</v>
      </c>
      <c r="AZ183" s="54" t="s">
        <v>325</v>
      </c>
      <c r="BA183" s="36" t="s">
        <v>116</v>
      </c>
      <c r="BC183" s="53">
        <f t="shared" si="199"/>
        <v>0</v>
      </c>
      <c r="BD183" s="53">
        <f t="shared" si="200"/>
        <v>0</v>
      </c>
      <c r="BE183" s="53">
        <v>0</v>
      </c>
      <c r="BF183" s="53">
        <f>183</f>
        <v>183</v>
      </c>
      <c r="BH183" s="53">
        <f t="shared" si="201"/>
        <v>0</v>
      </c>
      <c r="BI183" s="53">
        <f t="shared" si="202"/>
        <v>0</v>
      </c>
      <c r="BJ183" s="53">
        <f t="shared" si="203"/>
        <v>0</v>
      </c>
      <c r="BK183" s="54" t="s">
        <v>117</v>
      </c>
      <c r="BL183" s="53">
        <v>728</v>
      </c>
      <c r="BW183" s="53">
        <v>21</v>
      </c>
      <c r="BX183" s="3" t="s">
        <v>625</v>
      </c>
    </row>
    <row r="184" spans="1:76" ht="23" x14ac:dyDescent="0.35">
      <c r="A184" s="1" t="s">
        <v>626</v>
      </c>
      <c r="B184" s="2" t="s">
        <v>627</v>
      </c>
      <c r="C184" s="91" t="s">
        <v>628</v>
      </c>
      <c r="D184" s="88"/>
      <c r="E184" s="2" t="s">
        <v>137</v>
      </c>
      <c r="F184" s="53">
        <v>60</v>
      </c>
      <c r="G184" s="77">
        <v>0</v>
      </c>
      <c r="H184" s="53">
        <f t="shared" si="184"/>
        <v>0</v>
      </c>
      <c r="I184" s="79" t="s">
        <v>1688</v>
      </c>
      <c r="J184" s="49"/>
      <c r="Z184" s="53">
        <f t="shared" si="185"/>
        <v>0</v>
      </c>
      <c r="AB184" s="53">
        <f t="shared" si="186"/>
        <v>0</v>
      </c>
      <c r="AC184" s="53">
        <f t="shared" si="187"/>
        <v>0</v>
      </c>
      <c r="AD184" s="53">
        <f t="shared" si="188"/>
        <v>0</v>
      </c>
      <c r="AE184" s="53">
        <f t="shared" si="189"/>
        <v>0</v>
      </c>
      <c r="AF184" s="53">
        <f t="shared" si="190"/>
        <v>0</v>
      </c>
      <c r="AG184" s="53">
        <f t="shared" si="191"/>
        <v>0</v>
      </c>
      <c r="AH184" s="53">
        <f t="shared" si="192"/>
        <v>0</v>
      </c>
      <c r="AI184" s="36" t="s">
        <v>10</v>
      </c>
      <c r="AJ184" s="53">
        <f t="shared" si="193"/>
        <v>0</v>
      </c>
      <c r="AK184" s="53">
        <f t="shared" si="194"/>
        <v>0</v>
      </c>
      <c r="AL184" s="53">
        <f t="shared" si="195"/>
        <v>0</v>
      </c>
      <c r="AN184" s="53">
        <v>21</v>
      </c>
      <c r="AO184" s="53">
        <f>G184*0.762625594</f>
        <v>0</v>
      </c>
      <c r="AP184" s="53">
        <f>G184*(1-0.762625594)</f>
        <v>0</v>
      </c>
      <c r="AQ184" s="54" t="s">
        <v>134</v>
      </c>
      <c r="AV184" s="53">
        <f t="shared" si="196"/>
        <v>0</v>
      </c>
      <c r="AW184" s="53">
        <f t="shared" si="197"/>
        <v>0</v>
      </c>
      <c r="AX184" s="53">
        <f t="shared" si="198"/>
        <v>0</v>
      </c>
      <c r="AY184" s="54" t="s">
        <v>555</v>
      </c>
      <c r="AZ184" s="54" t="s">
        <v>325</v>
      </c>
      <c r="BA184" s="36" t="s">
        <v>116</v>
      </c>
      <c r="BC184" s="53">
        <f t="shared" si="199"/>
        <v>0</v>
      </c>
      <c r="BD184" s="53">
        <f t="shared" si="200"/>
        <v>0</v>
      </c>
      <c r="BE184" s="53">
        <v>0</v>
      </c>
      <c r="BF184" s="53">
        <f>184</f>
        <v>184</v>
      </c>
      <c r="BH184" s="53">
        <f t="shared" si="201"/>
        <v>0</v>
      </c>
      <c r="BI184" s="53">
        <f t="shared" si="202"/>
        <v>0</v>
      </c>
      <c r="BJ184" s="53">
        <f t="shared" si="203"/>
        <v>0</v>
      </c>
      <c r="BK184" s="54" t="s">
        <v>117</v>
      </c>
      <c r="BL184" s="53">
        <v>728</v>
      </c>
      <c r="BW184" s="53">
        <v>21</v>
      </c>
      <c r="BX184" s="3" t="s">
        <v>628</v>
      </c>
    </row>
    <row r="185" spans="1:76" ht="35" customHeight="1" x14ac:dyDescent="0.35">
      <c r="A185" s="1" t="s">
        <v>629</v>
      </c>
      <c r="B185" s="2" t="s">
        <v>630</v>
      </c>
      <c r="C185" s="91" t="s">
        <v>631</v>
      </c>
      <c r="D185" s="88"/>
      <c r="E185" s="2" t="s">
        <v>434</v>
      </c>
      <c r="F185" s="53">
        <v>2</v>
      </c>
      <c r="G185" s="77">
        <v>0</v>
      </c>
      <c r="H185" s="53">
        <f t="shared" si="184"/>
        <v>0</v>
      </c>
      <c r="I185" s="79" t="s">
        <v>1688</v>
      </c>
      <c r="J185" s="49"/>
      <c r="Z185" s="53">
        <f t="shared" si="185"/>
        <v>0</v>
      </c>
      <c r="AB185" s="53">
        <f t="shared" si="186"/>
        <v>0</v>
      </c>
      <c r="AC185" s="53">
        <f t="shared" si="187"/>
        <v>0</v>
      </c>
      <c r="AD185" s="53">
        <f t="shared" si="188"/>
        <v>0</v>
      </c>
      <c r="AE185" s="53">
        <f t="shared" si="189"/>
        <v>0</v>
      </c>
      <c r="AF185" s="53">
        <f t="shared" si="190"/>
        <v>0</v>
      </c>
      <c r="AG185" s="53">
        <f t="shared" si="191"/>
        <v>0</v>
      </c>
      <c r="AH185" s="53">
        <f t="shared" si="192"/>
        <v>0</v>
      </c>
      <c r="AI185" s="36" t="s">
        <v>10</v>
      </c>
      <c r="AJ185" s="53">
        <f t="shared" si="193"/>
        <v>0</v>
      </c>
      <c r="AK185" s="53">
        <f t="shared" si="194"/>
        <v>0</v>
      </c>
      <c r="AL185" s="53">
        <f t="shared" si="195"/>
        <v>0</v>
      </c>
      <c r="AN185" s="53">
        <v>21</v>
      </c>
      <c r="AO185" s="53">
        <f>G185*0.850940806</f>
        <v>0</v>
      </c>
      <c r="AP185" s="53">
        <f>G185*(1-0.850940806)</f>
        <v>0</v>
      </c>
      <c r="AQ185" s="54" t="s">
        <v>134</v>
      </c>
      <c r="AV185" s="53">
        <f t="shared" si="196"/>
        <v>0</v>
      </c>
      <c r="AW185" s="53">
        <f t="shared" si="197"/>
        <v>0</v>
      </c>
      <c r="AX185" s="53">
        <f t="shared" si="198"/>
        <v>0</v>
      </c>
      <c r="AY185" s="54" t="s">
        <v>555</v>
      </c>
      <c r="AZ185" s="54" t="s">
        <v>325</v>
      </c>
      <c r="BA185" s="36" t="s">
        <v>116</v>
      </c>
      <c r="BC185" s="53">
        <f t="shared" si="199"/>
        <v>0</v>
      </c>
      <c r="BD185" s="53">
        <f t="shared" si="200"/>
        <v>0</v>
      </c>
      <c r="BE185" s="53">
        <v>0</v>
      </c>
      <c r="BF185" s="53">
        <f>185</f>
        <v>185</v>
      </c>
      <c r="BH185" s="53">
        <f t="shared" si="201"/>
        <v>0</v>
      </c>
      <c r="BI185" s="53">
        <f t="shared" si="202"/>
        <v>0</v>
      </c>
      <c r="BJ185" s="53">
        <f t="shared" si="203"/>
        <v>0</v>
      </c>
      <c r="BK185" s="54" t="s">
        <v>117</v>
      </c>
      <c r="BL185" s="53">
        <v>728</v>
      </c>
      <c r="BW185" s="53">
        <v>21</v>
      </c>
      <c r="BX185" s="3" t="s">
        <v>631</v>
      </c>
    </row>
    <row r="186" spans="1:76" ht="23" x14ac:dyDescent="0.35">
      <c r="A186" s="1" t="s">
        <v>632</v>
      </c>
      <c r="B186" s="2" t="s">
        <v>583</v>
      </c>
      <c r="C186" s="91" t="s">
        <v>633</v>
      </c>
      <c r="D186" s="88"/>
      <c r="E186" s="2" t="s">
        <v>137</v>
      </c>
      <c r="F186" s="53">
        <v>36</v>
      </c>
      <c r="G186" s="77">
        <v>0</v>
      </c>
      <c r="H186" s="53">
        <f t="shared" si="184"/>
        <v>0</v>
      </c>
      <c r="I186" s="79" t="s">
        <v>1688</v>
      </c>
      <c r="J186" s="49"/>
      <c r="Z186" s="53">
        <f t="shared" si="185"/>
        <v>0</v>
      </c>
      <c r="AB186" s="53">
        <f t="shared" si="186"/>
        <v>0</v>
      </c>
      <c r="AC186" s="53">
        <f t="shared" si="187"/>
        <v>0</v>
      </c>
      <c r="AD186" s="53">
        <f t="shared" si="188"/>
        <v>0</v>
      </c>
      <c r="AE186" s="53">
        <f t="shared" si="189"/>
        <v>0</v>
      </c>
      <c r="AF186" s="53">
        <f t="shared" si="190"/>
        <v>0</v>
      </c>
      <c r="AG186" s="53">
        <f t="shared" si="191"/>
        <v>0</v>
      </c>
      <c r="AH186" s="53">
        <f t="shared" si="192"/>
        <v>0</v>
      </c>
      <c r="AI186" s="36" t="s">
        <v>10</v>
      </c>
      <c r="AJ186" s="53">
        <f t="shared" si="193"/>
        <v>0</v>
      </c>
      <c r="AK186" s="53">
        <f t="shared" si="194"/>
        <v>0</v>
      </c>
      <c r="AL186" s="53">
        <f t="shared" si="195"/>
        <v>0</v>
      </c>
      <c r="AN186" s="53">
        <v>21</v>
      </c>
      <c r="AO186" s="53">
        <f>G186*0.627460474</f>
        <v>0</v>
      </c>
      <c r="AP186" s="53">
        <f>G186*(1-0.627460474)</f>
        <v>0</v>
      </c>
      <c r="AQ186" s="54" t="s">
        <v>134</v>
      </c>
      <c r="AV186" s="53">
        <f t="shared" si="196"/>
        <v>0</v>
      </c>
      <c r="AW186" s="53">
        <f t="shared" si="197"/>
        <v>0</v>
      </c>
      <c r="AX186" s="53">
        <f t="shared" si="198"/>
        <v>0</v>
      </c>
      <c r="AY186" s="54" t="s">
        <v>555</v>
      </c>
      <c r="AZ186" s="54" t="s">
        <v>325</v>
      </c>
      <c r="BA186" s="36" t="s">
        <v>116</v>
      </c>
      <c r="BC186" s="53">
        <f t="shared" si="199"/>
        <v>0</v>
      </c>
      <c r="BD186" s="53">
        <f t="shared" si="200"/>
        <v>0</v>
      </c>
      <c r="BE186" s="53">
        <v>0</v>
      </c>
      <c r="BF186" s="53">
        <f>186</f>
        <v>186</v>
      </c>
      <c r="BH186" s="53">
        <f t="shared" si="201"/>
        <v>0</v>
      </c>
      <c r="BI186" s="53">
        <f t="shared" si="202"/>
        <v>0</v>
      </c>
      <c r="BJ186" s="53">
        <f t="shared" si="203"/>
        <v>0</v>
      </c>
      <c r="BK186" s="54" t="s">
        <v>117</v>
      </c>
      <c r="BL186" s="53">
        <v>728</v>
      </c>
      <c r="BW186" s="53">
        <v>21</v>
      </c>
      <c r="BX186" s="3" t="s">
        <v>633</v>
      </c>
    </row>
    <row r="187" spans="1:76" ht="23" x14ac:dyDescent="0.35">
      <c r="A187" s="1" t="s">
        <v>634</v>
      </c>
      <c r="B187" s="2" t="s">
        <v>580</v>
      </c>
      <c r="C187" s="91" t="s">
        <v>581</v>
      </c>
      <c r="D187" s="88"/>
      <c r="E187" s="2" t="s">
        <v>137</v>
      </c>
      <c r="F187" s="53">
        <v>54</v>
      </c>
      <c r="G187" s="77">
        <v>0</v>
      </c>
      <c r="H187" s="53">
        <f t="shared" si="184"/>
        <v>0</v>
      </c>
      <c r="I187" s="79" t="s">
        <v>1688</v>
      </c>
      <c r="J187" s="49"/>
      <c r="Z187" s="53">
        <f t="shared" si="185"/>
        <v>0</v>
      </c>
      <c r="AB187" s="53">
        <f t="shared" si="186"/>
        <v>0</v>
      </c>
      <c r="AC187" s="53">
        <f t="shared" si="187"/>
        <v>0</v>
      </c>
      <c r="AD187" s="53">
        <f t="shared" si="188"/>
        <v>0</v>
      </c>
      <c r="AE187" s="53">
        <f t="shared" si="189"/>
        <v>0</v>
      </c>
      <c r="AF187" s="53">
        <f t="shared" si="190"/>
        <v>0</v>
      </c>
      <c r="AG187" s="53">
        <f t="shared" si="191"/>
        <v>0</v>
      </c>
      <c r="AH187" s="53">
        <f t="shared" si="192"/>
        <v>0</v>
      </c>
      <c r="AI187" s="36" t="s">
        <v>10</v>
      </c>
      <c r="AJ187" s="53">
        <f t="shared" si="193"/>
        <v>0</v>
      </c>
      <c r="AK187" s="53">
        <f t="shared" si="194"/>
        <v>0</v>
      </c>
      <c r="AL187" s="53">
        <f t="shared" si="195"/>
        <v>0</v>
      </c>
      <c r="AN187" s="53">
        <v>21</v>
      </c>
      <c r="AO187" s="53">
        <f>G187*0.539470033</f>
        <v>0</v>
      </c>
      <c r="AP187" s="53">
        <f>G187*(1-0.539470033)</f>
        <v>0</v>
      </c>
      <c r="AQ187" s="54" t="s">
        <v>134</v>
      </c>
      <c r="AV187" s="53">
        <f t="shared" si="196"/>
        <v>0</v>
      </c>
      <c r="AW187" s="53">
        <f t="shared" si="197"/>
        <v>0</v>
      </c>
      <c r="AX187" s="53">
        <f t="shared" si="198"/>
        <v>0</v>
      </c>
      <c r="AY187" s="54" t="s">
        <v>555</v>
      </c>
      <c r="AZ187" s="54" t="s">
        <v>325</v>
      </c>
      <c r="BA187" s="36" t="s">
        <v>116</v>
      </c>
      <c r="BC187" s="53">
        <f t="shared" si="199"/>
        <v>0</v>
      </c>
      <c r="BD187" s="53">
        <f t="shared" si="200"/>
        <v>0</v>
      </c>
      <c r="BE187" s="53">
        <v>0</v>
      </c>
      <c r="BF187" s="53">
        <f>187</f>
        <v>187</v>
      </c>
      <c r="BH187" s="53">
        <f t="shared" si="201"/>
        <v>0</v>
      </c>
      <c r="BI187" s="53">
        <f t="shared" si="202"/>
        <v>0</v>
      </c>
      <c r="BJ187" s="53">
        <f t="shared" si="203"/>
        <v>0</v>
      </c>
      <c r="BK187" s="54" t="s">
        <v>117</v>
      </c>
      <c r="BL187" s="53">
        <v>728</v>
      </c>
      <c r="BW187" s="53">
        <v>21</v>
      </c>
      <c r="BX187" s="3" t="s">
        <v>581</v>
      </c>
    </row>
    <row r="188" spans="1:76" ht="23" x14ac:dyDescent="0.35">
      <c r="A188" s="1" t="s">
        <v>635</v>
      </c>
      <c r="B188" s="2" t="s">
        <v>586</v>
      </c>
      <c r="C188" s="91" t="s">
        <v>636</v>
      </c>
      <c r="D188" s="88"/>
      <c r="E188" s="2" t="s">
        <v>137</v>
      </c>
      <c r="F188" s="53">
        <v>96</v>
      </c>
      <c r="G188" s="77">
        <v>0</v>
      </c>
      <c r="H188" s="53">
        <f t="shared" si="184"/>
        <v>0</v>
      </c>
      <c r="I188" s="79" t="s">
        <v>1688</v>
      </c>
      <c r="J188" s="49"/>
      <c r="Z188" s="53">
        <f t="shared" si="185"/>
        <v>0</v>
      </c>
      <c r="AB188" s="53">
        <f t="shared" si="186"/>
        <v>0</v>
      </c>
      <c r="AC188" s="53">
        <f t="shared" si="187"/>
        <v>0</v>
      </c>
      <c r="AD188" s="53">
        <f t="shared" si="188"/>
        <v>0</v>
      </c>
      <c r="AE188" s="53">
        <f t="shared" si="189"/>
        <v>0</v>
      </c>
      <c r="AF188" s="53">
        <f t="shared" si="190"/>
        <v>0</v>
      </c>
      <c r="AG188" s="53">
        <f t="shared" si="191"/>
        <v>0</v>
      </c>
      <c r="AH188" s="53">
        <f t="shared" si="192"/>
        <v>0</v>
      </c>
      <c r="AI188" s="36" t="s">
        <v>10</v>
      </c>
      <c r="AJ188" s="53">
        <f t="shared" si="193"/>
        <v>0</v>
      </c>
      <c r="AK188" s="53">
        <f t="shared" si="194"/>
        <v>0</v>
      </c>
      <c r="AL188" s="53">
        <f t="shared" si="195"/>
        <v>0</v>
      </c>
      <c r="AN188" s="53">
        <v>21</v>
      </c>
      <c r="AO188" s="53">
        <f>G188*0.693333333</f>
        <v>0</v>
      </c>
      <c r="AP188" s="53">
        <f>G188*(1-0.693333333)</f>
        <v>0</v>
      </c>
      <c r="AQ188" s="54" t="s">
        <v>134</v>
      </c>
      <c r="AV188" s="53">
        <f t="shared" si="196"/>
        <v>0</v>
      </c>
      <c r="AW188" s="53">
        <f t="shared" si="197"/>
        <v>0</v>
      </c>
      <c r="AX188" s="53">
        <f t="shared" si="198"/>
        <v>0</v>
      </c>
      <c r="AY188" s="54" t="s">
        <v>555</v>
      </c>
      <c r="AZ188" s="54" t="s">
        <v>325</v>
      </c>
      <c r="BA188" s="36" t="s">
        <v>116</v>
      </c>
      <c r="BC188" s="53">
        <f t="shared" si="199"/>
        <v>0</v>
      </c>
      <c r="BD188" s="53">
        <f t="shared" si="200"/>
        <v>0</v>
      </c>
      <c r="BE188" s="53">
        <v>0</v>
      </c>
      <c r="BF188" s="53">
        <f>188</f>
        <v>188</v>
      </c>
      <c r="BH188" s="53">
        <f t="shared" si="201"/>
        <v>0</v>
      </c>
      <c r="BI188" s="53">
        <f t="shared" si="202"/>
        <v>0</v>
      </c>
      <c r="BJ188" s="53">
        <f t="shared" si="203"/>
        <v>0</v>
      </c>
      <c r="BK188" s="54" t="s">
        <v>117</v>
      </c>
      <c r="BL188" s="53">
        <v>728</v>
      </c>
      <c r="BW188" s="53">
        <v>21</v>
      </c>
      <c r="BX188" s="3" t="s">
        <v>636</v>
      </c>
    </row>
    <row r="189" spans="1:76" ht="23" x14ac:dyDescent="0.35">
      <c r="A189" s="1" t="s">
        <v>637</v>
      </c>
      <c r="B189" s="2" t="s">
        <v>638</v>
      </c>
      <c r="C189" s="91" t="s">
        <v>639</v>
      </c>
      <c r="D189" s="88"/>
      <c r="E189" s="2" t="s">
        <v>137</v>
      </c>
      <c r="F189" s="53">
        <v>28</v>
      </c>
      <c r="G189" s="77">
        <v>0</v>
      </c>
      <c r="H189" s="53">
        <f t="shared" si="184"/>
        <v>0</v>
      </c>
      <c r="I189" s="79" t="s">
        <v>1688</v>
      </c>
      <c r="J189" s="49"/>
      <c r="Z189" s="53">
        <f t="shared" si="185"/>
        <v>0</v>
      </c>
      <c r="AB189" s="53">
        <f t="shared" si="186"/>
        <v>0</v>
      </c>
      <c r="AC189" s="53">
        <f t="shared" si="187"/>
        <v>0</v>
      </c>
      <c r="AD189" s="53">
        <f t="shared" si="188"/>
        <v>0</v>
      </c>
      <c r="AE189" s="53">
        <f t="shared" si="189"/>
        <v>0</v>
      </c>
      <c r="AF189" s="53">
        <f t="shared" si="190"/>
        <v>0</v>
      </c>
      <c r="AG189" s="53">
        <f t="shared" si="191"/>
        <v>0</v>
      </c>
      <c r="AH189" s="53">
        <f t="shared" si="192"/>
        <v>0</v>
      </c>
      <c r="AI189" s="36" t="s">
        <v>10</v>
      </c>
      <c r="AJ189" s="53">
        <f t="shared" si="193"/>
        <v>0</v>
      </c>
      <c r="AK189" s="53">
        <f t="shared" si="194"/>
        <v>0</v>
      </c>
      <c r="AL189" s="53">
        <f t="shared" si="195"/>
        <v>0</v>
      </c>
      <c r="AN189" s="53">
        <v>21</v>
      </c>
      <c r="AO189" s="53">
        <f>G189*0</f>
        <v>0</v>
      </c>
      <c r="AP189" s="53">
        <f>G189*(1-0)</f>
        <v>0</v>
      </c>
      <c r="AQ189" s="54" t="s">
        <v>134</v>
      </c>
      <c r="AV189" s="53">
        <f t="shared" si="196"/>
        <v>0</v>
      </c>
      <c r="AW189" s="53">
        <f t="shared" si="197"/>
        <v>0</v>
      </c>
      <c r="AX189" s="53">
        <f t="shared" si="198"/>
        <v>0</v>
      </c>
      <c r="AY189" s="54" t="s">
        <v>555</v>
      </c>
      <c r="AZ189" s="54" t="s">
        <v>325</v>
      </c>
      <c r="BA189" s="36" t="s">
        <v>116</v>
      </c>
      <c r="BC189" s="53">
        <f t="shared" si="199"/>
        <v>0</v>
      </c>
      <c r="BD189" s="53">
        <f t="shared" si="200"/>
        <v>0</v>
      </c>
      <c r="BE189" s="53">
        <v>0</v>
      </c>
      <c r="BF189" s="53">
        <f>189</f>
        <v>189</v>
      </c>
      <c r="BH189" s="53">
        <f t="shared" si="201"/>
        <v>0</v>
      </c>
      <c r="BI189" s="53">
        <f t="shared" si="202"/>
        <v>0</v>
      </c>
      <c r="BJ189" s="53">
        <f t="shared" si="203"/>
        <v>0</v>
      </c>
      <c r="BK189" s="54" t="s">
        <v>117</v>
      </c>
      <c r="BL189" s="53">
        <v>728</v>
      </c>
      <c r="BW189" s="53">
        <v>21</v>
      </c>
      <c r="BX189" s="3" t="s">
        <v>639</v>
      </c>
    </row>
    <row r="190" spans="1:76" ht="23" x14ac:dyDescent="0.35">
      <c r="A190" s="1" t="s">
        <v>640</v>
      </c>
      <c r="B190" s="2" t="s">
        <v>641</v>
      </c>
      <c r="C190" s="91" t="s">
        <v>642</v>
      </c>
      <c r="D190" s="88"/>
      <c r="E190" s="2" t="s">
        <v>121</v>
      </c>
      <c r="F190" s="53">
        <v>1</v>
      </c>
      <c r="G190" s="77">
        <v>0</v>
      </c>
      <c r="H190" s="53">
        <f t="shared" si="184"/>
        <v>0</v>
      </c>
      <c r="I190" s="79" t="s">
        <v>1688</v>
      </c>
      <c r="J190" s="49"/>
      <c r="Z190" s="53">
        <f t="shared" si="185"/>
        <v>0</v>
      </c>
      <c r="AB190" s="53">
        <f t="shared" si="186"/>
        <v>0</v>
      </c>
      <c r="AC190" s="53">
        <f t="shared" si="187"/>
        <v>0</v>
      </c>
      <c r="AD190" s="53">
        <f t="shared" si="188"/>
        <v>0</v>
      </c>
      <c r="AE190" s="53">
        <f t="shared" si="189"/>
        <v>0</v>
      </c>
      <c r="AF190" s="53">
        <f t="shared" si="190"/>
        <v>0</v>
      </c>
      <c r="AG190" s="53">
        <f t="shared" si="191"/>
        <v>0</v>
      </c>
      <c r="AH190" s="53">
        <f t="shared" si="192"/>
        <v>0</v>
      </c>
      <c r="AI190" s="36" t="s">
        <v>10</v>
      </c>
      <c r="AJ190" s="53">
        <f t="shared" si="193"/>
        <v>0</v>
      </c>
      <c r="AK190" s="53">
        <f t="shared" si="194"/>
        <v>0</v>
      </c>
      <c r="AL190" s="53">
        <f t="shared" si="195"/>
        <v>0</v>
      </c>
      <c r="AN190" s="53">
        <v>21</v>
      </c>
      <c r="AO190" s="53">
        <f>G190*0.501043841</f>
        <v>0</v>
      </c>
      <c r="AP190" s="53">
        <f>G190*(1-0.501043841)</f>
        <v>0</v>
      </c>
      <c r="AQ190" s="54" t="s">
        <v>134</v>
      </c>
      <c r="AV190" s="53">
        <f t="shared" si="196"/>
        <v>0</v>
      </c>
      <c r="AW190" s="53">
        <f t="shared" si="197"/>
        <v>0</v>
      </c>
      <c r="AX190" s="53">
        <f t="shared" si="198"/>
        <v>0</v>
      </c>
      <c r="AY190" s="54" t="s">
        <v>555</v>
      </c>
      <c r="AZ190" s="54" t="s">
        <v>325</v>
      </c>
      <c r="BA190" s="36" t="s">
        <v>116</v>
      </c>
      <c r="BC190" s="53">
        <f t="shared" si="199"/>
        <v>0</v>
      </c>
      <c r="BD190" s="53">
        <f t="shared" si="200"/>
        <v>0</v>
      </c>
      <c r="BE190" s="53">
        <v>0</v>
      </c>
      <c r="BF190" s="53">
        <f>190</f>
        <v>190</v>
      </c>
      <c r="BH190" s="53">
        <f t="shared" si="201"/>
        <v>0</v>
      </c>
      <c r="BI190" s="53">
        <f t="shared" si="202"/>
        <v>0</v>
      </c>
      <c r="BJ190" s="53">
        <f t="shared" si="203"/>
        <v>0</v>
      </c>
      <c r="BK190" s="54" t="s">
        <v>117</v>
      </c>
      <c r="BL190" s="53">
        <v>728</v>
      </c>
      <c r="BW190" s="53">
        <v>21</v>
      </c>
      <c r="BX190" s="3" t="s">
        <v>642</v>
      </c>
    </row>
    <row r="191" spans="1:76" ht="23" x14ac:dyDescent="0.35">
      <c r="A191" s="1" t="s">
        <v>643</v>
      </c>
      <c r="B191" s="2" t="s">
        <v>612</v>
      </c>
      <c r="C191" s="91" t="s">
        <v>644</v>
      </c>
      <c r="D191" s="88"/>
      <c r="E191" s="2" t="s">
        <v>434</v>
      </c>
      <c r="F191" s="53">
        <v>10</v>
      </c>
      <c r="G191" s="77">
        <v>0</v>
      </c>
      <c r="H191" s="53">
        <f t="shared" si="184"/>
        <v>0</v>
      </c>
      <c r="I191" s="79" t="s">
        <v>1688</v>
      </c>
      <c r="J191" s="49"/>
      <c r="Z191" s="53">
        <f t="shared" si="185"/>
        <v>0</v>
      </c>
      <c r="AB191" s="53">
        <f t="shared" si="186"/>
        <v>0</v>
      </c>
      <c r="AC191" s="53">
        <f t="shared" si="187"/>
        <v>0</v>
      </c>
      <c r="AD191" s="53">
        <f t="shared" si="188"/>
        <v>0</v>
      </c>
      <c r="AE191" s="53">
        <f t="shared" si="189"/>
        <v>0</v>
      </c>
      <c r="AF191" s="53">
        <f t="shared" si="190"/>
        <v>0</v>
      </c>
      <c r="AG191" s="53">
        <f t="shared" si="191"/>
        <v>0</v>
      </c>
      <c r="AH191" s="53">
        <f t="shared" si="192"/>
        <v>0</v>
      </c>
      <c r="AI191" s="36" t="s">
        <v>10</v>
      </c>
      <c r="AJ191" s="53">
        <f t="shared" si="193"/>
        <v>0</v>
      </c>
      <c r="AK191" s="53">
        <f t="shared" si="194"/>
        <v>0</v>
      </c>
      <c r="AL191" s="53">
        <f t="shared" si="195"/>
        <v>0</v>
      </c>
      <c r="AN191" s="53">
        <v>21</v>
      </c>
      <c r="AO191" s="53">
        <f>G191*0.316124625</f>
        <v>0</v>
      </c>
      <c r="AP191" s="53">
        <f>G191*(1-0.316124625)</f>
        <v>0</v>
      </c>
      <c r="AQ191" s="54" t="s">
        <v>134</v>
      </c>
      <c r="AV191" s="53">
        <f t="shared" si="196"/>
        <v>0</v>
      </c>
      <c r="AW191" s="53">
        <f t="shared" si="197"/>
        <v>0</v>
      </c>
      <c r="AX191" s="53">
        <f t="shared" si="198"/>
        <v>0</v>
      </c>
      <c r="AY191" s="54" t="s">
        <v>555</v>
      </c>
      <c r="AZ191" s="54" t="s">
        <v>325</v>
      </c>
      <c r="BA191" s="36" t="s">
        <v>116</v>
      </c>
      <c r="BC191" s="53">
        <f t="shared" si="199"/>
        <v>0</v>
      </c>
      <c r="BD191" s="53">
        <f t="shared" si="200"/>
        <v>0</v>
      </c>
      <c r="BE191" s="53">
        <v>0</v>
      </c>
      <c r="BF191" s="53">
        <f>191</f>
        <v>191</v>
      </c>
      <c r="BH191" s="53">
        <f t="shared" si="201"/>
        <v>0</v>
      </c>
      <c r="BI191" s="53">
        <f t="shared" si="202"/>
        <v>0</v>
      </c>
      <c r="BJ191" s="53">
        <f t="shared" si="203"/>
        <v>0</v>
      </c>
      <c r="BK191" s="54" t="s">
        <v>117</v>
      </c>
      <c r="BL191" s="53">
        <v>728</v>
      </c>
      <c r="BW191" s="53">
        <v>21</v>
      </c>
      <c r="BX191" s="3" t="s">
        <v>644</v>
      </c>
    </row>
    <row r="192" spans="1:76" ht="25" x14ac:dyDescent="0.35">
      <c r="A192" s="1" t="s">
        <v>645</v>
      </c>
      <c r="B192" s="2" t="s">
        <v>606</v>
      </c>
      <c r="C192" s="91" t="s">
        <v>646</v>
      </c>
      <c r="D192" s="88"/>
      <c r="E192" s="2" t="s">
        <v>647</v>
      </c>
      <c r="F192" s="53">
        <v>300</v>
      </c>
      <c r="G192" s="77">
        <v>0</v>
      </c>
      <c r="H192" s="53">
        <f t="shared" si="184"/>
        <v>0</v>
      </c>
      <c r="I192" s="79" t="s">
        <v>1688</v>
      </c>
      <c r="J192" s="49"/>
      <c r="Z192" s="53">
        <f t="shared" si="185"/>
        <v>0</v>
      </c>
      <c r="AB192" s="53">
        <f t="shared" si="186"/>
        <v>0</v>
      </c>
      <c r="AC192" s="53">
        <f t="shared" si="187"/>
        <v>0</v>
      </c>
      <c r="AD192" s="53">
        <f t="shared" si="188"/>
        <v>0</v>
      </c>
      <c r="AE192" s="53">
        <f t="shared" si="189"/>
        <v>0</v>
      </c>
      <c r="AF192" s="53">
        <f t="shared" si="190"/>
        <v>0</v>
      </c>
      <c r="AG192" s="53">
        <f t="shared" si="191"/>
        <v>0</v>
      </c>
      <c r="AH192" s="53">
        <f t="shared" si="192"/>
        <v>0</v>
      </c>
      <c r="AI192" s="36" t="s">
        <v>10</v>
      </c>
      <c r="AJ192" s="53">
        <f t="shared" si="193"/>
        <v>0</v>
      </c>
      <c r="AK192" s="53">
        <f t="shared" si="194"/>
        <v>0</v>
      </c>
      <c r="AL192" s="53">
        <f t="shared" si="195"/>
        <v>0</v>
      </c>
      <c r="AN192" s="53">
        <v>21</v>
      </c>
      <c r="AO192" s="53">
        <f>G192*0.090909091</f>
        <v>0</v>
      </c>
      <c r="AP192" s="53">
        <f>G192*(1-0.090909091)</f>
        <v>0</v>
      </c>
      <c r="AQ192" s="54" t="s">
        <v>134</v>
      </c>
      <c r="AV192" s="53">
        <f t="shared" si="196"/>
        <v>0</v>
      </c>
      <c r="AW192" s="53">
        <f t="shared" si="197"/>
        <v>0</v>
      </c>
      <c r="AX192" s="53">
        <f t="shared" si="198"/>
        <v>0</v>
      </c>
      <c r="AY192" s="54" t="s">
        <v>555</v>
      </c>
      <c r="AZ192" s="54" t="s">
        <v>325</v>
      </c>
      <c r="BA192" s="36" t="s">
        <v>116</v>
      </c>
      <c r="BC192" s="53">
        <f t="shared" si="199"/>
        <v>0</v>
      </c>
      <c r="BD192" s="53">
        <f t="shared" si="200"/>
        <v>0</v>
      </c>
      <c r="BE192" s="53">
        <v>0</v>
      </c>
      <c r="BF192" s="53">
        <f>192</f>
        <v>192</v>
      </c>
      <c r="BH192" s="53">
        <f t="shared" si="201"/>
        <v>0</v>
      </c>
      <c r="BI192" s="53">
        <f t="shared" si="202"/>
        <v>0</v>
      </c>
      <c r="BJ192" s="53">
        <f t="shared" si="203"/>
        <v>0</v>
      </c>
      <c r="BK192" s="54" t="s">
        <v>117</v>
      </c>
      <c r="BL192" s="53">
        <v>728</v>
      </c>
      <c r="BW192" s="53">
        <v>21</v>
      </c>
      <c r="BX192" s="3" t="s">
        <v>646</v>
      </c>
    </row>
    <row r="193" spans="1:76" ht="23" x14ac:dyDescent="0.35">
      <c r="A193" s="1" t="s">
        <v>648</v>
      </c>
      <c r="B193" s="2" t="s">
        <v>649</v>
      </c>
      <c r="C193" s="91" t="s">
        <v>650</v>
      </c>
      <c r="D193" s="88"/>
      <c r="E193" s="2" t="s">
        <v>424</v>
      </c>
      <c r="F193" s="53">
        <v>1</v>
      </c>
      <c r="G193" s="77">
        <v>0</v>
      </c>
      <c r="H193" s="53">
        <f t="shared" si="184"/>
        <v>0</v>
      </c>
      <c r="I193" s="79" t="s">
        <v>1688</v>
      </c>
      <c r="J193" s="49"/>
      <c r="Z193" s="53">
        <f t="shared" si="185"/>
        <v>0</v>
      </c>
      <c r="AB193" s="53">
        <f t="shared" si="186"/>
        <v>0</v>
      </c>
      <c r="AC193" s="53">
        <f t="shared" si="187"/>
        <v>0</v>
      </c>
      <c r="AD193" s="53">
        <f t="shared" si="188"/>
        <v>0</v>
      </c>
      <c r="AE193" s="53">
        <f t="shared" si="189"/>
        <v>0</v>
      </c>
      <c r="AF193" s="53">
        <f t="shared" si="190"/>
        <v>0</v>
      </c>
      <c r="AG193" s="53">
        <f t="shared" si="191"/>
        <v>0</v>
      </c>
      <c r="AH193" s="53">
        <f t="shared" si="192"/>
        <v>0</v>
      </c>
      <c r="AI193" s="36" t="s">
        <v>10</v>
      </c>
      <c r="AJ193" s="53">
        <f t="shared" si="193"/>
        <v>0</v>
      </c>
      <c r="AK193" s="53">
        <f t="shared" si="194"/>
        <v>0</v>
      </c>
      <c r="AL193" s="53">
        <f t="shared" si="195"/>
        <v>0</v>
      </c>
      <c r="AN193" s="53">
        <v>21</v>
      </c>
      <c r="AO193" s="53">
        <f>G193*0</f>
        <v>0</v>
      </c>
      <c r="AP193" s="53">
        <f>G193*(1-0)</f>
        <v>0</v>
      </c>
      <c r="AQ193" s="54" t="s">
        <v>134</v>
      </c>
      <c r="AV193" s="53">
        <f t="shared" si="196"/>
        <v>0</v>
      </c>
      <c r="AW193" s="53">
        <f t="shared" si="197"/>
        <v>0</v>
      </c>
      <c r="AX193" s="53">
        <f t="shared" si="198"/>
        <v>0</v>
      </c>
      <c r="AY193" s="54" t="s">
        <v>555</v>
      </c>
      <c r="AZ193" s="54" t="s">
        <v>325</v>
      </c>
      <c r="BA193" s="36" t="s">
        <v>116</v>
      </c>
      <c r="BC193" s="53">
        <f t="shared" si="199"/>
        <v>0</v>
      </c>
      <c r="BD193" s="53">
        <f t="shared" si="200"/>
        <v>0</v>
      </c>
      <c r="BE193" s="53">
        <v>0</v>
      </c>
      <c r="BF193" s="53">
        <f>193</f>
        <v>193</v>
      </c>
      <c r="BH193" s="53">
        <f t="shared" si="201"/>
        <v>0</v>
      </c>
      <c r="BI193" s="53">
        <f t="shared" si="202"/>
        <v>0</v>
      </c>
      <c r="BJ193" s="53">
        <f t="shared" si="203"/>
        <v>0</v>
      </c>
      <c r="BK193" s="54" t="s">
        <v>117</v>
      </c>
      <c r="BL193" s="53">
        <v>728</v>
      </c>
      <c r="BW193" s="53">
        <v>21</v>
      </c>
      <c r="BX193" s="3" t="s">
        <v>650</v>
      </c>
    </row>
    <row r="194" spans="1:76" ht="23" x14ac:dyDescent="0.35">
      <c r="A194" s="1" t="s">
        <v>651</v>
      </c>
      <c r="B194" s="2" t="s">
        <v>652</v>
      </c>
      <c r="C194" s="91" t="s">
        <v>653</v>
      </c>
      <c r="D194" s="88"/>
      <c r="E194" s="2" t="s">
        <v>414</v>
      </c>
      <c r="F194" s="53">
        <v>1</v>
      </c>
      <c r="G194" s="77">
        <v>0</v>
      </c>
      <c r="H194" s="53">
        <f t="shared" si="184"/>
        <v>0</v>
      </c>
      <c r="I194" s="79" t="s">
        <v>1688</v>
      </c>
      <c r="J194" s="49"/>
      <c r="Z194" s="53">
        <f t="shared" si="185"/>
        <v>0</v>
      </c>
      <c r="AB194" s="53">
        <f t="shared" si="186"/>
        <v>0</v>
      </c>
      <c r="AC194" s="53">
        <f t="shared" si="187"/>
        <v>0</v>
      </c>
      <c r="AD194" s="53">
        <f t="shared" si="188"/>
        <v>0</v>
      </c>
      <c r="AE194" s="53">
        <f t="shared" si="189"/>
        <v>0</v>
      </c>
      <c r="AF194" s="53">
        <f t="shared" si="190"/>
        <v>0</v>
      </c>
      <c r="AG194" s="53">
        <f t="shared" si="191"/>
        <v>0</v>
      </c>
      <c r="AH194" s="53">
        <f t="shared" si="192"/>
        <v>0</v>
      </c>
      <c r="AI194" s="36" t="s">
        <v>10</v>
      </c>
      <c r="AJ194" s="53">
        <f t="shared" si="193"/>
        <v>0</v>
      </c>
      <c r="AK194" s="53">
        <f t="shared" si="194"/>
        <v>0</v>
      </c>
      <c r="AL194" s="53">
        <f t="shared" si="195"/>
        <v>0</v>
      </c>
      <c r="AN194" s="53">
        <v>21</v>
      </c>
      <c r="AO194" s="53">
        <f>G194*0</f>
        <v>0</v>
      </c>
      <c r="AP194" s="53">
        <f>G194*(1-0)</f>
        <v>0</v>
      </c>
      <c r="AQ194" s="54" t="s">
        <v>134</v>
      </c>
      <c r="AV194" s="53">
        <f t="shared" si="196"/>
        <v>0</v>
      </c>
      <c r="AW194" s="53">
        <f t="shared" si="197"/>
        <v>0</v>
      </c>
      <c r="AX194" s="53">
        <f t="shared" si="198"/>
        <v>0</v>
      </c>
      <c r="AY194" s="54" t="s">
        <v>555</v>
      </c>
      <c r="AZ194" s="54" t="s">
        <v>325</v>
      </c>
      <c r="BA194" s="36" t="s">
        <v>116</v>
      </c>
      <c r="BC194" s="53">
        <f t="shared" si="199"/>
        <v>0</v>
      </c>
      <c r="BD194" s="53">
        <f t="shared" si="200"/>
        <v>0</v>
      </c>
      <c r="BE194" s="53">
        <v>0</v>
      </c>
      <c r="BF194" s="53">
        <f>194</f>
        <v>194</v>
      </c>
      <c r="BH194" s="53">
        <f t="shared" si="201"/>
        <v>0</v>
      </c>
      <c r="BI194" s="53">
        <f t="shared" si="202"/>
        <v>0</v>
      </c>
      <c r="BJ194" s="53">
        <f t="shared" si="203"/>
        <v>0</v>
      </c>
      <c r="BK194" s="54" t="s">
        <v>117</v>
      </c>
      <c r="BL194" s="53">
        <v>728</v>
      </c>
      <c r="BW194" s="53">
        <v>21</v>
      </c>
      <c r="BX194" s="3" t="s">
        <v>653</v>
      </c>
    </row>
    <row r="195" spans="1:76" ht="23" x14ac:dyDescent="0.35">
      <c r="A195" s="1" t="s">
        <v>654</v>
      </c>
      <c r="B195" s="2" t="s">
        <v>655</v>
      </c>
      <c r="C195" s="91" t="s">
        <v>656</v>
      </c>
      <c r="D195" s="88"/>
      <c r="E195" s="2" t="s">
        <v>434</v>
      </c>
      <c r="F195" s="53">
        <v>1</v>
      </c>
      <c r="G195" s="77">
        <v>0</v>
      </c>
      <c r="H195" s="53">
        <f t="shared" si="184"/>
        <v>0</v>
      </c>
      <c r="I195" s="79" t="s">
        <v>1688</v>
      </c>
      <c r="J195" s="49"/>
      <c r="Z195" s="53">
        <f t="shared" si="185"/>
        <v>0</v>
      </c>
      <c r="AB195" s="53">
        <f t="shared" si="186"/>
        <v>0</v>
      </c>
      <c r="AC195" s="53">
        <f t="shared" si="187"/>
        <v>0</v>
      </c>
      <c r="AD195" s="53">
        <f t="shared" si="188"/>
        <v>0</v>
      </c>
      <c r="AE195" s="53">
        <f t="shared" si="189"/>
        <v>0</v>
      </c>
      <c r="AF195" s="53">
        <f t="shared" si="190"/>
        <v>0</v>
      </c>
      <c r="AG195" s="53">
        <f t="shared" si="191"/>
        <v>0</v>
      </c>
      <c r="AH195" s="53">
        <f t="shared" si="192"/>
        <v>0</v>
      </c>
      <c r="AI195" s="36" t="s">
        <v>10</v>
      </c>
      <c r="AJ195" s="53">
        <f t="shared" si="193"/>
        <v>0</v>
      </c>
      <c r="AK195" s="53">
        <f t="shared" si="194"/>
        <v>0</v>
      </c>
      <c r="AL195" s="53">
        <f t="shared" si="195"/>
        <v>0</v>
      </c>
      <c r="AN195" s="53">
        <v>21</v>
      </c>
      <c r="AO195" s="53">
        <f>G195*0</f>
        <v>0</v>
      </c>
      <c r="AP195" s="53">
        <f>G195*(1-0)</f>
        <v>0</v>
      </c>
      <c r="AQ195" s="54" t="s">
        <v>134</v>
      </c>
      <c r="AV195" s="53">
        <f t="shared" si="196"/>
        <v>0</v>
      </c>
      <c r="AW195" s="53">
        <f t="shared" si="197"/>
        <v>0</v>
      </c>
      <c r="AX195" s="53">
        <f t="shared" si="198"/>
        <v>0</v>
      </c>
      <c r="AY195" s="54" t="s">
        <v>555</v>
      </c>
      <c r="AZ195" s="54" t="s">
        <v>325</v>
      </c>
      <c r="BA195" s="36" t="s">
        <v>116</v>
      </c>
      <c r="BC195" s="53">
        <f t="shared" si="199"/>
        <v>0</v>
      </c>
      <c r="BD195" s="53">
        <f t="shared" si="200"/>
        <v>0</v>
      </c>
      <c r="BE195" s="53">
        <v>0</v>
      </c>
      <c r="BF195" s="53">
        <f>195</f>
        <v>195</v>
      </c>
      <c r="BH195" s="53">
        <f t="shared" si="201"/>
        <v>0</v>
      </c>
      <c r="BI195" s="53">
        <f t="shared" si="202"/>
        <v>0</v>
      </c>
      <c r="BJ195" s="53">
        <f t="shared" si="203"/>
        <v>0</v>
      </c>
      <c r="BK195" s="54" t="s">
        <v>117</v>
      </c>
      <c r="BL195" s="53">
        <v>728</v>
      </c>
      <c r="BW195" s="53">
        <v>21</v>
      </c>
      <c r="BX195" s="3" t="s">
        <v>656</v>
      </c>
    </row>
    <row r="196" spans="1:76" ht="23" x14ac:dyDescent="0.35">
      <c r="A196" s="1" t="s">
        <v>657</v>
      </c>
      <c r="B196" s="2" t="s">
        <v>658</v>
      </c>
      <c r="C196" s="91" t="s">
        <v>659</v>
      </c>
      <c r="D196" s="88"/>
      <c r="E196" s="2" t="s">
        <v>424</v>
      </c>
      <c r="F196" s="53">
        <v>1</v>
      </c>
      <c r="G196" s="77">
        <v>0</v>
      </c>
      <c r="H196" s="53">
        <f t="shared" si="184"/>
        <v>0</v>
      </c>
      <c r="I196" s="79" t="s">
        <v>1688</v>
      </c>
      <c r="J196" s="49"/>
      <c r="Z196" s="53">
        <f t="shared" si="185"/>
        <v>0</v>
      </c>
      <c r="AB196" s="53">
        <f t="shared" si="186"/>
        <v>0</v>
      </c>
      <c r="AC196" s="53">
        <f t="shared" si="187"/>
        <v>0</v>
      </c>
      <c r="AD196" s="53">
        <f t="shared" si="188"/>
        <v>0</v>
      </c>
      <c r="AE196" s="53">
        <f t="shared" si="189"/>
        <v>0</v>
      </c>
      <c r="AF196" s="53">
        <f t="shared" si="190"/>
        <v>0</v>
      </c>
      <c r="AG196" s="53">
        <f t="shared" si="191"/>
        <v>0</v>
      </c>
      <c r="AH196" s="53">
        <f t="shared" si="192"/>
        <v>0</v>
      </c>
      <c r="AI196" s="36" t="s">
        <v>10</v>
      </c>
      <c r="AJ196" s="53">
        <f t="shared" si="193"/>
        <v>0</v>
      </c>
      <c r="AK196" s="53">
        <f t="shared" si="194"/>
        <v>0</v>
      </c>
      <c r="AL196" s="53">
        <f t="shared" si="195"/>
        <v>0</v>
      </c>
      <c r="AN196" s="53">
        <v>21</v>
      </c>
      <c r="AO196" s="53">
        <f>G196*0.333611296</f>
        <v>0</v>
      </c>
      <c r="AP196" s="53">
        <f>G196*(1-0.333611296)</f>
        <v>0</v>
      </c>
      <c r="AQ196" s="54" t="s">
        <v>134</v>
      </c>
      <c r="AV196" s="53">
        <f t="shared" si="196"/>
        <v>0</v>
      </c>
      <c r="AW196" s="53">
        <f t="shared" si="197"/>
        <v>0</v>
      </c>
      <c r="AX196" s="53">
        <f t="shared" si="198"/>
        <v>0</v>
      </c>
      <c r="AY196" s="54" t="s">
        <v>555</v>
      </c>
      <c r="AZ196" s="54" t="s">
        <v>325</v>
      </c>
      <c r="BA196" s="36" t="s">
        <v>116</v>
      </c>
      <c r="BC196" s="53">
        <f t="shared" si="199"/>
        <v>0</v>
      </c>
      <c r="BD196" s="53">
        <f t="shared" si="200"/>
        <v>0</v>
      </c>
      <c r="BE196" s="53">
        <v>0</v>
      </c>
      <c r="BF196" s="53">
        <f>196</f>
        <v>196</v>
      </c>
      <c r="BH196" s="53">
        <f t="shared" si="201"/>
        <v>0</v>
      </c>
      <c r="BI196" s="53">
        <f t="shared" si="202"/>
        <v>0</v>
      </c>
      <c r="BJ196" s="53">
        <f t="shared" si="203"/>
        <v>0</v>
      </c>
      <c r="BK196" s="54" t="s">
        <v>117</v>
      </c>
      <c r="BL196" s="53">
        <v>728</v>
      </c>
      <c r="BW196" s="53">
        <v>21</v>
      </c>
      <c r="BX196" s="3" t="s">
        <v>659</v>
      </c>
    </row>
    <row r="197" spans="1:76" ht="23" x14ac:dyDescent="0.35">
      <c r="A197" s="1" t="s">
        <v>660</v>
      </c>
      <c r="B197" s="2" t="s">
        <v>661</v>
      </c>
      <c r="C197" s="91" t="s">
        <v>662</v>
      </c>
      <c r="D197" s="88"/>
      <c r="E197" s="2" t="s">
        <v>10</v>
      </c>
      <c r="F197" s="53">
        <v>3</v>
      </c>
      <c r="G197" s="77">
        <v>0</v>
      </c>
      <c r="H197" s="53">
        <f t="shared" si="184"/>
        <v>0</v>
      </c>
      <c r="I197" s="79" t="s">
        <v>1688</v>
      </c>
      <c r="J197" s="49"/>
      <c r="Z197" s="53">
        <f t="shared" si="185"/>
        <v>0</v>
      </c>
      <c r="AB197" s="53">
        <f t="shared" si="186"/>
        <v>0</v>
      </c>
      <c r="AC197" s="53">
        <f t="shared" si="187"/>
        <v>0</v>
      </c>
      <c r="AD197" s="53">
        <f t="shared" si="188"/>
        <v>0</v>
      </c>
      <c r="AE197" s="53">
        <f t="shared" si="189"/>
        <v>0</v>
      </c>
      <c r="AF197" s="53">
        <f t="shared" si="190"/>
        <v>0</v>
      </c>
      <c r="AG197" s="53">
        <f t="shared" si="191"/>
        <v>0</v>
      </c>
      <c r="AH197" s="53">
        <f t="shared" si="192"/>
        <v>0</v>
      </c>
      <c r="AI197" s="36" t="s">
        <v>10</v>
      </c>
      <c r="AJ197" s="53">
        <f t="shared" si="193"/>
        <v>0</v>
      </c>
      <c r="AK197" s="53">
        <f t="shared" si="194"/>
        <v>0</v>
      </c>
      <c r="AL197" s="53">
        <f t="shared" si="195"/>
        <v>0</v>
      </c>
      <c r="AN197" s="53">
        <v>21</v>
      </c>
      <c r="AO197" s="53">
        <f>G197*0</f>
        <v>0</v>
      </c>
      <c r="AP197" s="53">
        <f>G197*(1-0)</f>
        <v>0</v>
      </c>
      <c r="AQ197" s="54" t="s">
        <v>134</v>
      </c>
      <c r="AV197" s="53">
        <f t="shared" si="196"/>
        <v>0</v>
      </c>
      <c r="AW197" s="53">
        <f t="shared" si="197"/>
        <v>0</v>
      </c>
      <c r="AX197" s="53">
        <f t="shared" si="198"/>
        <v>0</v>
      </c>
      <c r="AY197" s="54" t="s">
        <v>555</v>
      </c>
      <c r="AZ197" s="54" t="s">
        <v>325</v>
      </c>
      <c r="BA197" s="36" t="s">
        <v>116</v>
      </c>
      <c r="BC197" s="53">
        <f t="shared" si="199"/>
        <v>0</v>
      </c>
      <c r="BD197" s="53">
        <f t="shared" si="200"/>
        <v>0</v>
      </c>
      <c r="BE197" s="53">
        <v>0</v>
      </c>
      <c r="BF197" s="53">
        <f>197</f>
        <v>197</v>
      </c>
      <c r="BH197" s="53">
        <f t="shared" si="201"/>
        <v>0</v>
      </c>
      <c r="BI197" s="53">
        <f t="shared" si="202"/>
        <v>0</v>
      </c>
      <c r="BJ197" s="53">
        <f t="shared" si="203"/>
        <v>0</v>
      </c>
      <c r="BK197" s="54" t="s">
        <v>117</v>
      </c>
      <c r="BL197" s="53">
        <v>728</v>
      </c>
      <c r="BW197" s="53">
        <v>21</v>
      </c>
      <c r="BX197" s="3" t="s">
        <v>662</v>
      </c>
    </row>
    <row r="198" spans="1:76" ht="14.5" x14ac:dyDescent="0.35">
      <c r="A198" s="50" t="s">
        <v>10</v>
      </c>
      <c r="B198" s="51" t="s">
        <v>372</v>
      </c>
      <c r="C198" s="172" t="s">
        <v>663</v>
      </c>
      <c r="D198" s="173"/>
      <c r="E198" s="52" t="s">
        <v>75</v>
      </c>
      <c r="F198" s="52" t="s">
        <v>75</v>
      </c>
      <c r="G198" s="52" t="s">
        <v>75</v>
      </c>
      <c r="H198" s="28">
        <f>SUM(H199:H211)</f>
        <v>0</v>
      </c>
      <c r="I198" s="36" t="s">
        <v>10</v>
      </c>
      <c r="J198" s="49"/>
      <c r="AI198" s="36" t="s">
        <v>10</v>
      </c>
      <c r="AS198" s="28">
        <f>SUM(AJ199:AJ211)</f>
        <v>0</v>
      </c>
      <c r="AT198" s="28">
        <f>SUM(AK199:AK211)</f>
        <v>0</v>
      </c>
      <c r="AU198" s="28">
        <f>SUM(AL199:AL211)</f>
        <v>0</v>
      </c>
    </row>
    <row r="199" spans="1:76" ht="23" x14ac:dyDescent="0.35">
      <c r="A199" s="1" t="s">
        <v>664</v>
      </c>
      <c r="B199" s="2" t="s">
        <v>665</v>
      </c>
      <c r="C199" s="91" t="s">
        <v>666</v>
      </c>
      <c r="D199" s="88"/>
      <c r="E199" s="2" t="s">
        <v>137</v>
      </c>
      <c r="F199" s="53">
        <v>50</v>
      </c>
      <c r="G199" s="77">
        <v>0</v>
      </c>
      <c r="H199" s="53">
        <f t="shared" ref="H199:H211" si="204">ROUND(F199*G199,2)</f>
        <v>0</v>
      </c>
      <c r="I199" s="79" t="s">
        <v>1688</v>
      </c>
      <c r="J199" s="49"/>
      <c r="Z199" s="53">
        <f t="shared" ref="Z199:Z211" si="205">ROUND(IF(AQ199="5",BJ199,0),2)</f>
        <v>0</v>
      </c>
      <c r="AB199" s="53">
        <f t="shared" ref="AB199:AB211" si="206">ROUND(IF(AQ199="1",BH199,0),2)</f>
        <v>0</v>
      </c>
      <c r="AC199" s="53">
        <f t="shared" ref="AC199:AC211" si="207">ROUND(IF(AQ199="1",BI199,0),2)</f>
        <v>0</v>
      </c>
      <c r="AD199" s="53">
        <f t="shared" ref="AD199:AD211" si="208">ROUND(IF(AQ199="7",BH199,0),2)</f>
        <v>0</v>
      </c>
      <c r="AE199" s="53">
        <f t="shared" ref="AE199:AE211" si="209">ROUND(IF(AQ199="7",BI199,0),2)</f>
        <v>0</v>
      </c>
      <c r="AF199" s="53">
        <f t="shared" ref="AF199:AF211" si="210">ROUND(IF(AQ199="2",BH199,0),2)</f>
        <v>0</v>
      </c>
      <c r="AG199" s="53">
        <f t="shared" ref="AG199:AG211" si="211">ROUND(IF(AQ199="2",BI199,0),2)</f>
        <v>0</v>
      </c>
      <c r="AH199" s="53">
        <f t="shared" ref="AH199:AH211" si="212">ROUND(IF(AQ199="0",BJ199,0),2)</f>
        <v>0</v>
      </c>
      <c r="AI199" s="36" t="s">
        <v>10</v>
      </c>
      <c r="AJ199" s="53">
        <f t="shared" ref="AJ199:AJ211" si="213">IF(AN199=0,H199,0)</f>
        <v>0</v>
      </c>
      <c r="AK199" s="53">
        <f t="shared" ref="AK199:AK211" si="214">IF(AN199=12,H199,0)</f>
        <v>0</v>
      </c>
      <c r="AL199" s="53">
        <f t="shared" ref="AL199:AL211" si="215">IF(AN199=21,H199,0)</f>
        <v>0</v>
      </c>
      <c r="AN199" s="53">
        <v>21</v>
      </c>
      <c r="AO199" s="53">
        <f>G199*0.534982469</f>
        <v>0</v>
      </c>
      <c r="AP199" s="53">
        <f>G199*(1-0.534982469)</f>
        <v>0</v>
      </c>
      <c r="AQ199" s="54" t="s">
        <v>134</v>
      </c>
      <c r="AV199" s="53">
        <f t="shared" ref="AV199:AV211" si="216">ROUND(AW199+AX199,2)</f>
        <v>0</v>
      </c>
      <c r="AW199" s="53">
        <f t="shared" ref="AW199:AW211" si="217">ROUND(F199*AO199,2)</f>
        <v>0</v>
      </c>
      <c r="AX199" s="53">
        <f t="shared" ref="AX199:AX211" si="218">ROUND(F199*AP199,2)</f>
        <v>0</v>
      </c>
      <c r="AY199" s="54" t="s">
        <v>667</v>
      </c>
      <c r="AZ199" s="54" t="s">
        <v>668</v>
      </c>
      <c r="BA199" s="36" t="s">
        <v>116</v>
      </c>
      <c r="BC199" s="53">
        <f t="shared" ref="BC199:BC211" si="219">AW199+AX199</f>
        <v>0</v>
      </c>
      <c r="BD199" s="53">
        <f t="shared" ref="BD199:BD211" si="220">G199/(100-BE199)*100</f>
        <v>0</v>
      </c>
      <c r="BE199" s="53">
        <v>0</v>
      </c>
      <c r="BF199" s="53">
        <f>199</f>
        <v>199</v>
      </c>
      <c r="BH199" s="53">
        <f t="shared" ref="BH199:BH211" si="221">F199*AO199</f>
        <v>0</v>
      </c>
      <c r="BI199" s="53">
        <f t="shared" ref="BI199:BI211" si="222">F199*AP199</f>
        <v>0</v>
      </c>
      <c r="BJ199" s="53">
        <f t="shared" ref="BJ199:BJ211" si="223">F199*G199</f>
        <v>0</v>
      </c>
      <c r="BK199" s="54" t="s">
        <v>117</v>
      </c>
      <c r="BL199" s="53">
        <v>73</v>
      </c>
      <c r="BW199" s="53">
        <v>21</v>
      </c>
      <c r="BX199" s="3" t="s">
        <v>666</v>
      </c>
    </row>
    <row r="200" spans="1:76" ht="23" x14ac:dyDescent="0.35">
      <c r="A200" s="1" t="s">
        <v>669</v>
      </c>
      <c r="B200" s="2" t="s">
        <v>670</v>
      </c>
      <c r="C200" s="91" t="s">
        <v>671</v>
      </c>
      <c r="D200" s="88"/>
      <c r="E200" s="2" t="s">
        <v>424</v>
      </c>
      <c r="F200" s="53">
        <v>1</v>
      </c>
      <c r="G200" s="77">
        <v>0</v>
      </c>
      <c r="H200" s="53">
        <f t="shared" si="204"/>
        <v>0</v>
      </c>
      <c r="I200" s="79" t="s">
        <v>1688</v>
      </c>
      <c r="J200" s="49"/>
      <c r="Z200" s="53">
        <f t="shared" si="205"/>
        <v>0</v>
      </c>
      <c r="AB200" s="53">
        <f t="shared" si="206"/>
        <v>0</v>
      </c>
      <c r="AC200" s="53">
        <f t="shared" si="207"/>
        <v>0</v>
      </c>
      <c r="AD200" s="53">
        <f t="shared" si="208"/>
        <v>0</v>
      </c>
      <c r="AE200" s="53">
        <f t="shared" si="209"/>
        <v>0</v>
      </c>
      <c r="AF200" s="53">
        <f t="shared" si="210"/>
        <v>0</v>
      </c>
      <c r="AG200" s="53">
        <f t="shared" si="211"/>
        <v>0</v>
      </c>
      <c r="AH200" s="53">
        <f t="shared" si="212"/>
        <v>0</v>
      </c>
      <c r="AI200" s="36" t="s">
        <v>10</v>
      </c>
      <c r="AJ200" s="53">
        <f t="shared" si="213"/>
        <v>0</v>
      </c>
      <c r="AK200" s="53">
        <f t="shared" si="214"/>
        <v>0</v>
      </c>
      <c r="AL200" s="53">
        <f t="shared" si="215"/>
        <v>0</v>
      </c>
      <c r="AN200" s="53">
        <v>21</v>
      </c>
      <c r="AO200" s="53">
        <f>G200*0.004655056</f>
        <v>0</v>
      </c>
      <c r="AP200" s="53">
        <f>G200*(1-0.004655056)</f>
        <v>0</v>
      </c>
      <c r="AQ200" s="54" t="s">
        <v>134</v>
      </c>
      <c r="AV200" s="53">
        <f t="shared" si="216"/>
        <v>0</v>
      </c>
      <c r="AW200" s="53">
        <f t="shared" si="217"/>
        <v>0</v>
      </c>
      <c r="AX200" s="53">
        <f t="shared" si="218"/>
        <v>0</v>
      </c>
      <c r="AY200" s="54" t="s">
        <v>667</v>
      </c>
      <c r="AZ200" s="54" t="s">
        <v>668</v>
      </c>
      <c r="BA200" s="36" t="s">
        <v>116</v>
      </c>
      <c r="BC200" s="53">
        <f t="shared" si="219"/>
        <v>0</v>
      </c>
      <c r="BD200" s="53">
        <f t="shared" si="220"/>
        <v>0</v>
      </c>
      <c r="BE200" s="53">
        <v>0</v>
      </c>
      <c r="BF200" s="53">
        <f>200</f>
        <v>200</v>
      </c>
      <c r="BH200" s="53">
        <f t="shared" si="221"/>
        <v>0</v>
      </c>
      <c r="BI200" s="53">
        <f t="shared" si="222"/>
        <v>0</v>
      </c>
      <c r="BJ200" s="53">
        <f t="shared" si="223"/>
        <v>0</v>
      </c>
      <c r="BK200" s="54" t="s">
        <v>117</v>
      </c>
      <c r="BL200" s="53">
        <v>73</v>
      </c>
      <c r="BW200" s="53">
        <v>21</v>
      </c>
      <c r="BX200" s="3" t="s">
        <v>671</v>
      </c>
    </row>
    <row r="201" spans="1:76" ht="23" x14ac:dyDescent="0.35">
      <c r="A201" s="1" t="s">
        <v>672</v>
      </c>
      <c r="B201" s="2" t="s">
        <v>673</v>
      </c>
      <c r="C201" s="91" t="s">
        <v>674</v>
      </c>
      <c r="D201" s="88"/>
      <c r="E201" s="2" t="s">
        <v>121</v>
      </c>
      <c r="F201" s="53">
        <v>1</v>
      </c>
      <c r="G201" s="77">
        <v>0</v>
      </c>
      <c r="H201" s="53">
        <f t="shared" si="204"/>
        <v>0</v>
      </c>
      <c r="I201" s="79" t="s">
        <v>1688</v>
      </c>
      <c r="J201" s="49"/>
      <c r="Z201" s="53">
        <f t="shared" si="205"/>
        <v>0</v>
      </c>
      <c r="AB201" s="53">
        <f t="shared" si="206"/>
        <v>0</v>
      </c>
      <c r="AC201" s="53">
        <f t="shared" si="207"/>
        <v>0</v>
      </c>
      <c r="AD201" s="53">
        <f t="shared" si="208"/>
        <v>0</v>
      </c>
      <c r="AE201" s="53">
        <f t="shared" si="209"/>
        <v>0</v>
      </c>
      <c r="AF201" s="53">
        <f t="shared" si="210"/>
        <v>0</v>
      </c>
      <c r="AG201" s="53">
        <f t="shared" si="211"/>
        <v>0</v>
      </c>
      <c r="AH201" s="53">
        <f t="shared" si="212"/>
        <v>0</v>
      </c>
      <c r="AI201" s="36" t="s">
        <v>10</v>
      </c>
      <c r="AJ201" s="53">
        <f t="shared" si="213"/>
        <v>0</v>
      </c>
      <c r="AK201" s="53">
        <f t="shared" si="214"/>
        <v>0</v>
      </c>
      <c r="AL201" s="53">
        <f t="shared" si="215"/>
        <v>0</v>
      </c>
      <c r="AN201" s="53">
        <v>21</v>
      </c>
      <c r="AO201" s="53">
        <f>G201*0.113142322</f>
        <v>0</v>
      </c>
      <c r="AP201" s="53">
        <f>G201*(1-0.113142322)</f>
        <v>0</v>
      </c>
      <c r="AQ201" s="54" t="s">
        <v>134</v>
      </c>
      <c r="AV201" s="53">
        <f t="shared" si="216"/>
        <v>0</v>
      </c>
      <c r="AW201" s="53">
        <f t="shared" si="217"/>
        <v>0</v>
      </c>
      <c r="AX201" s="53">
        <f t="shared" si="218"/>
        <v>0</v>
      </c>
      <c r="AY201" s="54" t="s">
        <v>667</v>
      </c>
      <c r="AZ201" s="54" t="s">
        <v>668</v>
      </c>
      <c r="BA201" s="36" t="s">
        <v>116</v>
      </c>
      <c r="BC201" s="53">
        <f t="shared" si="219"/>
        <v>0</v>
      </c>
      <c r="BD201" s="53">
        <f t="shared" si="220"/>
        <v>0</v>
      </c>
      <c r="BE201" s="53">
        <v>0</v>
      </c>
      <c r="BF201" s="53">
        <f>201</f>
        <v>201</v>
      </c>
      <c r="BH201" s="53">
        <f t="shared" si="221"/>
        <v>0</v>
      </c>
      <c r="BI201" s="53">
        <f t="shared" si="222"/>
        <v>0</v>
      </c>
      <c r="BJ201" s="53">
        <f t="shared" si="223"/>
        <v>0</v>
      </c>
      <c r="BK201" s="54" t="s">
        <v>117</v>
      </c>
      <c r="BL201" s="53">
        <v>73</v>
      </c>
      <c r="BW201" s="53">
        <v>21</v>
      </c>
      <c r="BX201" s="3" t="s">
        <v>674</v>
      </c>
    </row>
    <row r="202" spans="1:76" ht="23" x14ac:dyDescent="0.35">
      <c r="A202" s="1" t="s">
        <v>675</v>
      </c>
      <c r="B202" s="2" t="s">
        <v>676</v>
      </c>
      <c r="C202" s="91" t="s">
        <v>677</v>
      </c>
      <c r="D202" s="88"/>
      <c r="E202" s="2" t="s">
        <v>137</v>
      </c>
      <c r="F202" s="53">
        <v>50</v>
      </c>
      <c r="G202" s="77">
        <v>0</v>
      </c>
      <c r="H202" s="53">
        <f t="shared" si="204"/>
        <v>0</v>
      </c>
      <c r="I202" s="79" t="s">
        <v>1688</v>
      </c>
      <c r="J202" s="49"/>
      <c r="Z202" s="53">
        <f t="shared" si="205"/>
        <v>0</v>
      </c>
      <c r="AB202" s="53">
        <f t="shared" si="206"/>
        <v>0</v>
      </c>
      <c r="AC202" s="53">
        <f t="shared" si="207"/>
        <v>0</v>
      </c>
      <c r="AD202" s="53">
        <f t="shared" si="208"/>
        <v>0</v>
      </c>
      <c r="AE202" s="53">
        <f t="shared" si="209"/>
        <v>0</v>
      </c>
      <c r="AF202" s="53">
        <f t="shared" si="210"/>
        <v>0</v>
      </c>
      <c r="AG202" s="53">
        <f t="shared" si="211"/>
        <v>0</v>
      </c>
      <c r="AH202" s="53">
        <f t="shared" si="212"/>
        <v>0</v>
      </c>
      <c r="AI202" s="36" t="s">
        <v>10</v>
      </c>
      <c r="AJ202" s="53">
        <f t="shared" si="213"/>
        <v>0</v>
      </c>
      <c r="AK202" s="53">
        <f t="shared" si="214"/>
        <v>0</v>
      </c>
      <c r="AL202" s="53">
        <f t="shared" si="215"/>
        <v>0</v>
      </c>
      <c r="AN202" s="53">
        <v>21</v>
      </c>
      <c r="AO202" s="53">
        <f>G202*0.025003745</f>
        <v>0</v>
      </c>
      <c r="AP202" s="53">
        <f>G202*(1-0.025003745)</f>
        <v>0</v>
      </c>
      <c r="AQ202" s="54" t="s">
        <v>134</v>
      </c>
      <c r="AV202" s="53">
        <f t="shared" si="216"/>
        <v>0</v>
      </c>
      <c r="AW202" s="53">
        <f t="shared" si="217"/>
        <v>0</v>
      </c>
      <c r="AX202" s="53">
        <f t="shared" si="218"/>
        <v>0</v>
      </c>
      <c r="AY202" s="54" t="s">
        <v>667</v>
      </c>
      <c r="AZ202" s="54" t="s">
        <v>668</v>
      </c>
      <c r="BA202" s="36" t="s">
        <v>116</v>
      </c>
      <c r="BC202" s="53">
        <f t="shared" si="219"/>
        <v>0</v>
      </c>
      <c r="BD202" s="53">
        <f t="shared" si="220"/>
        <v>0</v>
      </c>
      <c r="BE202" s="53">
        <v>0</v>
      </c>
      <c r="BF202" s="53">
        <f>202</f>
        <v>202</v>
      </c>
      <c r="BH202" s="53">
        <f t="shared" si="221"/>
        <v>0</v>
      </c>
      <c r="BI202" s="53">
        <f t="shared" si="222"/>
        <v>0</v>
      </c>
      <c r="BJ202" s="53">
        <f t="shared" si="223"/>
        <v>0</v>
      </c>
      <c r="BK202" s="54" t="s">
        <v>117</v>
      </c>
      <c r="BL202" s="53">
        <v>73</v>
      </c>
      <c r="BW202" s="53">
        <v>21</v>
      </c>
      <c r="BX202" s="3" t="s">
        <v>677</v>
      </c>
    </row>
    <row r="203" spans="1:76" ht="23" x14ac:dyDescent="0.35">
      <c r="A203" s="1" t="s">
        <v>678</v>
      </c>
      <c r="B203" s="2" t="s">
        <v>679</v>
      </c>
      <c r="C203" s="91" t="s">
        <v>680</v>
      </c>
      <c r="D203" s="88"/>
      <c r="E203" s="2" t="s">
        <v>137</v>
      </c>
      <c r="F203" s="53">
        <v>20</v>
      </c>
      <c r="G203" s="77">
        <v>0</v>
      </c>
      <c r="H203" s="53">
        <f t="shared" si="204"/>
        <v>0</v>
      </c>
      <c r="I203" s="79" t="s">
        <v>1688</v>
      </c>
      <c r="J203" s="49"/>
      <c r="Z203" s="53">
        <f t="shared" si="205"/>
        <v>0</v>
      </c>
      <c r="AB203" s="53">
        <f t="shared" si="206"/>
        <v>0</v>
      </c>
      <c r="AC203" s="53">
        <f t="shared" si="207"/>
        <v>0</v>
      </c>
      <c r="AD203" s="53">
        <f t="shared" si="208"/>
        <v>0</v>
      </c>
      <c r="AE203" s="53">
        <f t="shared" si="209"/>
        <v>0</v>
      </c>
      <c r="AF203" s="53">
        <f t="shared" si="210"/>
        <v>0</v>
      </c>
      <c r="AG203" s="53">
        <f t="shared" si="211"/>
        <v>0</v>
      </c>
      <c r="AH203" s="53">
        <f t="shared" si="212"/>
        <v>0</v>
      </c>
      <c r="AI203" s="36" t="s">
        <v>10</v>
      </c>
      <c r="AJ203" s="53">
        <f t="shared" si="213"/>
        <v>0</v>
      </c>
      <c r="AK203" s="53">
        <f t="shared" si="214"/>
        <v>0</v>
      </c>
      <c r="AL203" s="53">
        <f t="shared" si="215"/>
        <v>0</v>
      </c>
      <c r="AN203" s="53">
        <v>21</v>
      </c>
      <c r="AO203" s="53">
        <f>G203*0.343130372</f>
        <v>0</v>
      </c>
      <c r="AP203" s="53">
        <f>G203*(1-0.343130372)</f>
        <v>0</v>
      </c>
      <c r="AQ203" s="54" t="s">
        <v>134</v>
      </c>
      <c r="AV203" s="53">
        <f t="shared" si="216"/>
        <v>0</v>
      </c>
      <c r="AW203" s="53">
        <f t="shared" si="217"/>
        <v>0</v>
      </c>
      <c r="AX203" s="53">
        <f t="shared" si="218"/>
        <v>0</v>
      </c>
      <c r="AY203" s="54" t="s">
        <v>667</v>
      </c>
      <c r="AZ203" s="54" t="s">
        <v>668</v>
      </c>
      <c r="BA203" s="36" t="s">
        <v>116</v>
      </c>
      <c r="BC203" s="53">
        <f t="shared" si="219"/>
        <v>0</v>
      </c>
      <c r="BD203" s="53">
        <f t="shared" si="220"/>
        <v>0</v>
      </c>
      <c r="BE203" s="53">
        <v>0</v>
      </c>
      <c r="BF203" s="53">
        <f>203</f>
        <v>203</v>
      </c>
      <c r="BH203" s="53">
        <f t="shared" si="221"/>
        <v>0</v>
      </c>
      <c r="BI203" s="53">
        <f t="shared" si="222"/>
        <v>0</v>
      </c>
      <c r="BJ203" s="53">
        <f t="shared" si="223"/>
        <v>0</v>
      </c>
      <c r="BK203" s="54" t="s">
        <v>117</v>
      </c>
      <c r="BL203" s="53">
        <v>73</v>
      </c>
      <c r="BW203" s="53">
        <v>21</v>
      </c>
      <c r="BX203" s="3" t="s">
        <v>680</v>
      </c>
    </row>
    <row r="204" spans="1:76" ht="23" x14ac:dyDescent="0.35">
      <c r="A204" s="1" t="s">
        <v>681</v>
      </c>
      <c r="B204" s="2" t="s">
        <v>682</v>
      </c>
      <c r="C204" s="91" t="s">
        <v>683</v>
      </c>
      <c r="D204" s="88"/>
      <c r="E204" s="2" t="s">
        <v>121</v>
      </c>
      <c r="F204" s="53">
        <v>6</v>
      </c>
      <c r="G204" s="77">
        <v>0</v>
      </c>
      <c r="H204" s="53">
        <f t="shared" si="204"/>
        <v>0</v>
      </c>
      <c r="I204" s="79" t="s">
        <v>1688</v>
      </c>
      <c r="J204" s="49"/>
      <c r="Z204" s="53">
        <f t="shared" si="205"/>
        <v>0</v>
      </c>
      <c r="AB204" s="53">
        <f t="shared" si="206"/>
        <v>0</v>
      </c>
      <c r="AC204" s="53">
        <f t="shared" si="207"/>
        <v>0</v>
      </c>
      <c r="AD204" s="53">
        <f t="shared" si="208"/>
        <v>0</v>
      </c>
      <c r="AE204" s="53">
        <f t="shared" si="209"/>
        <v>0</v>
      </c>
      <c r="AF204" s="53">
        <f t="shared" si="210"/>
        <v>0</v>
      </c>
      <c r="AG204" s="53">
        <f t="shared" si="211"/>
        <v>0</v>
      </c>
      <c r="AH204" s="53">
        <f t="shared" si="212"/>
        <v>0</v>
      </c>
      <c r="AI204" s="36" t="s">
        <v>10</v>
      </c>
      <c r="AJ204" s="53">
        <f t="shared" si="213"/>
        <v>0</v>
      </c>
      <c r="AK204" s="53">
        <f t="shared" si="214"/>
        <v>0</v>
      </c>
      <c r="AL204" s="53">
        <f t="shared" si="215"/>
        <v>0</v>
      </c>
      <c r="AN204" s="53">
        <v>21</v>
      </c>
      <c r="AO204" s="53">
        <f>G204*0.831104869</f>
        <v>0</v>
      </c>
      <c r="AP204" s="53">
        <f>G204*(1-0.831104869)</f>
        <v>0</v>
      </c>
      <c r="AQ204" s="54" t="s">
        <v>134</v>
      </c>
      <c r="AV204" s="53">
        <f t="shared" si="216"/>
        <v>0</v>
      </c>
      <c r="AW204" s="53">
        <f t="shared" si="217"/>
        <v>0</v>
      </c>
      <c r="AX204" s="53">
        <f t="shared" si="218"/>
        <v>0</v>
      </c>
      <c r="AY204" s="54" t="s">
        <v>667</v>
      </c>
      <c r="AZ204" s="54" t="s">
        <v>668</v>
      </c>
      <c r="BA204" s="36" t="s">
        <v>116</v>
      </c>
      <c r="BC204" s="53">
        <f t="shared" si="219"/>
        <v>0</v>
      </c>
      <c r="BD204" s="53">
        <f t="shared" si="220"/>
        <v>0</v>
      </c>
      <c r="BE204" s="53">
        <v>0</v>
      </c>
      <c r="BF204" s="53">
        <f>204</f>
        <v>204</v>
      </c>
      <c r="BH204" s="53">
        <f t="shared" si="221"/>
        <v>0</v>
      </c>
      <c r="BI204" s="53">
        <f t="shared" si="222"/>
        <v>0</v>
      </c>
      <c r="BJ204" s="53">
        <f t="shared" si="223"/>
        <v>0</v>
      </c>
      <c r="BK204" s="54" t="s">
        <v>117</v>
      </c>
      <c r="BL204" s="53">
        <v>73</v>
      </c>
      <c r="BW204" s="53">
        <v>21</v>
      </c>
      <c r="BX204" s="3" t="s">
        <v>683</v>
      </c>
    </row>
    <row r="205" spans="1:76" ht="23" x14ac:dyDescent="0.35">
      <c r="A205" s="1" t="s">
        <v>684</v>
      </c>
      <c r="B205" s="2" t="s">
        <v>685</v>
      </c>
      <c r="C205" s="91" t="s">
        <v>686</v>
      </c>
      <c r="D205" s="88"/>
      <c r="E205" s="2" t="s">
        <v>434</v>
      </c>
      <c r="F205" s="53">
        <v>4</v>
      </c>
      <c r="G205" s="77">
        <v>0</v>
      </c>
      <c r="H205" s="53">
        <f t="shared" si="204"/>
        <v>0</v>
      </c>
      <c r="I205" s="79" t="s">
        <v>1688</v>
      </c>
      <c r="J205" s="49"/>
      <c r="Z205" s="53">
        <f t="shared" si="205"/>
        <v>0</v>
      </c>
      <c r="AB205" s="53">
        <f t="shared" si="206"/>
        <v>0</v>
      </c>
      <c r="AC205" s="53">
        <f t="shared" si="207"/>
        <v>0</v>
      </c>
      <c r="AD205" s="53">
        <f t="shared" si="208"/>
        <v>0</v>
      </c>
      <c r="AE205" s="53">
        <f t="shared" si="209"/>
        <v>0</v>
      </c>
      <c r="AF205" s="53">
        <f t="shared" si="210"/>
        <v>0</v>
      </c>
      <c r="AG205" s="53">
        <f t="shared" si="211"/>
        <v>0</v>
      </c>
      <c r="AH205" s="53">
        <f t="shared" si="212"/>
        <v>0</v>
      </c>
      <c r="AI205" s="36" t="s">
        <v>10</v>
      </c>
      <c r="AJ205" s="53">
        <f t="shared" si="213"/>
        <v>0</v>
      </c>
      <c r="AK205" s="53">
        <f t="shared" si="214"/>
        <v>0</v>
      </c>
      <c r="AL205" s="53">
        <f t="shared" si="215"/>
        <v>0</v>
      </c>
      <c r="AN205" s="53">
        <v>21</v>
      </c>
      <c r="AO205" s="53">
        <f>G205*0</f>
        <v>0</v>
      </c>
      <c r="AP205" s="53">
        <f>G205*(1-0)</f>
        <v>0</v>
      </c>
      <c r="AQ205" s="54" t="s">
        <v>134</v>
      </c>
      <c r="AV205" s="53">
        <f t="shared" si="216"/>
        <v>0</v>
      </c>
      <c r="AW205" s="53">
        <f t="shared" si="217"/>
        <v>0</v>
      </c>
      <c r="AX205" s="53">
        <f t="shared" si="218"/>
        <v>0</v>
      </c>
      <c r="AY205" s="54" t="s">
        <v>667</v>
      </c>
      <c r="AZ205" s="54" t="s">
        <v>668</v>
      </c>
      <c r="BA205" s="36" t="s">
        <v>116</v>
      </c>
      <c r="BC205" s="53">
        <f t="shared" si="219"/>
        <v>0</v>
      </c>
      <c r="BD205" s="53">
        <f t="shared" si="220"/>
        <v>0</v>
      </c>
      <c r="BE205" s="53">
        <v>0</v>
      </c>
      <c r="BF205" s="53">
        <f>205</f>
        <v>205</v>
      </c>
      <c r="BH205" s="53">
        <f t="shared" si="221"/>
        <v>0</v>
      </c>
      <c r="BI205" s="53">
        <f t="shared" si="222"/>
        <v>0</v>
      </c>
      <c r="BJ205" s="53">
        <f t="shared" si="223"/>
        <v>0</v>
      </c>
      <c r="BK205" s="54" t="s">
        <v>117</v>
      </c>
      <c r="BL205" s="53">
        <v>73</v>
      </c>
      <c r="BW205" s="53">
        <v>21</v>
      </c>
      <c r="BX205" s="3" t="s">
        <v>686</v>
      </c>
    </row>
    <row r="206" spans="1:76" ht="23" x14ac:dyDescent="0.35">
      <c r="A206" s="1" t="s">
        <v>687</v>
      </c>
      <c r="B206" s="2" t="s">
        <v>688</v>
      </c>
      <c r="C206" s="91" t="s">
        <v>689</v>
      </c>
      <c r="D206" s="88"/>
      <c r="E206" s="2" t="s">
        <v>121</v>
      </c>
      <c r="F206" s="53">
        <v>1</v>
      </c>
      <c r="G206" s="77">
        <v>0</v>
      </c>
      <c r="H206" s="53">
        <f t="shared" si="204"/>
        <v>0</v>
      </c>
      <c r="I206" s="79" t="s">
        <v>1688</v>
      </c>
      <c r="J206" s="49"/>
      <c r="Z206" s="53">
        <f t="shared" si="205"/>
        <v>0</v>
      </c>
      <c r="AB206" s="53">
        <f t="shared" si="206"/>
        <v>0</v>
      </c>
      <c r="AC206" s="53">
        <f t="shared" si="207"/>
        <v>0</v>
      </c>
      <c r="AD206" s="53">
        <f t="shared" si="208"/>
        <v>0</v>
      </c>
      <c r="AE206" s="53">
        <f t="shared" si="209"/>
        <v>0</v>
      </c>
      <c r="AF206" s="53">
        <f t="shared" si="210"/>
        <v>0</v>
      </c>
      <c r="AG206" s="53">
        <f t="shared" si="211"/>
        <v>0</v>
      </c>
      <c r="AH206" s="53">
        <f t="shared" si="212"/>
        <v>0</v>
      </c>
      <c r="AI206" s="36" t="s">
        <v>10</v>
      </c>
      <c r="AJ206" s="53">
        <f t="shared" si="213"/>
        <v>0</v>
      </c>
      <c r="AK206" s="53">
        <f t="shared" si="214"/>
        <v>0</v>
      </c>
      <c r="AL206" s="53">
        <f t="shared" si="215"/>
        <v>0</v>
      </c>
      <c r="AN206" s="53">
        <v>21</v>
      </c>
      <c r="AO206" s="53">
        <f>G206*0.91935313</f>
        <v>0</v>
      </c>
      <c r="AP206" s="53">
        <f>G206*(1-0.91935313)</f>
        <v>0</v>
      </c>
      <c r="AQ206" s="54" t="s">
        <v>134</v>
      </c>
      <c r="AV206" s="53">
        <f t="shared" si="216"/>
        <v>0</v>
      </c>
      <c r="AW206" s="53">
        <f t="shared" si="217"/>
        <v>0</v>
      </c>
      <c r="AX206" s="53">
        <f t="shared" si="218"/>
        <v>0</v>
      </c>
      <c r="AY206" s="54" t="s">
        <v>667</v>
      </c>
      <c r="AZ206" s="54" t="s">
        <v>668</v>
      </c>
      <c r="BA206" s="36" t="s">
        <v>116</v>
      </c>
      <c r="BC206" s="53">
        <f t="shared" si="219"/>
        <v>0</v>
      </c>
      <c r="BD206" s="53">
        <f t="shared" si="220"/>
        <v>0</v>
      </c>
      <c r="BE206" s="53">
        <v>0</v>
      </c>
      <c r="BF206" s="53">
        <f>206</f>
        <v>206</v>
      </c>
      <c r="BH206" s="53">
        <f t="shared" si="221"/>
        <v>0</v>
      </c>
      <c r="BI206" s="53">
        <f t="shared" si="222"/>
        <v>0</v>
      </c>
      <c r="BJ206" s="53">
        <f t="shared" si="223"/>
        <v>0</v>
      </c>
      <c r="BK206" s="54" t="s">
        <v>117</v>
      </c>
      <c r="BL206" s="53">
        <v>73</v>
      </c>
      <c r="BW206" s="53">
        <v>21</v>
      </c>
      <c r="BX206" s="3" t="s">
        <v>689</v>
      </c>
    </row>
    <row r="207" spans="1:76" ht="23" x14ac:dyDescent="0.35">
      <c r="A207" s="1" t="s">
        <v>690</v>
      </c>
      <c r="B207" s="2" t="s">
        <v>691</v>
      </c>
      <c r="C207" s="91" t="s">
        <v>692</v>
      </c>
      <c r="D207" s="88"/>
      <c r="E207" s="2" t="s">
        <v>121</v>
      </c>
      <c r="F207" s="53">
        <v>3</v>
      </c>
      <c r="G207" s="77">
        <v>0</v>
      </c>
      <c r="H207" s="53">
        <f t="shared" si="204"/>
        <v>0</v>
      </c>
      <c r="I207" s="79" t="s">
        <v>1688</v>
      </c>
      <c r="J207" s="49"/>
      <c r="Z207" s="53">
        <f t="shared" si="205"/>
        <v>0</v>
      </c>
      <c r="AB207" s="53">
        <f t="shared" si="206"/>
        <v>0</v>
      </c>
      <c r="AC207" s="53">
        <f t="shared" si="207"/>
        <v>0</v>
      </c>
      <c r="AD207" s="53">
        <f t="shared" si="208"/>
        <v>0</v>
      </c>
      <c r="AE207" s="53">
        <f t="shared" si="209"/>
        <v>0</v>
      </c>
      <c r="AF207" s="53">
        <f t="shared" si="210"/>
        <v>0</v>
      </c>
      <c r="AG207" s="53">
        <f t="shared" si="211"/>
        <v>0</v>
      </c>
      <c r="AH207" s="53">
        <f t="shared" si="212"/>
        <v>0</v>
      </c>
      <c r="AI207" s="36" t="s">
        <v>10</v>
      </c>
      <c r="AJ207" s="53">
        <f t="shared" si="213"/>
        <v>0</v>
      </c>
      <c r="AK207" s="53">
        <f t="shared" si="214"/>
        <v>0</v>
      </c>
      <c r="AL207" s="53">
        <f t="shared" si="215"/>
        <v>0</v>
      </c>
      <c r="AN207" s="53">
        <v>21</v>
      </c>
      <c r="AO207" s="53">
        <f>G207*0.817272998</f>
        <v>0</v>
      </c>
      <c r="AP207" s="53">
        <f>G207*(1-0.817272998)</f>
        <v>0</v>
      </c>
      <c r="AQ207" s="54" t="s">
        <v>134</v>
      </c>
      <c r="AV207" s="53">
        <f t="shared" si="216"/>
        <v>0</v>
      </c>
      <c r="AW207" s="53">
        <f t="shared" si="217"/>
        <v>0</v>
      </c>
      <c r="AX207" s="53">
        <f t="shared" si="218"/>
        <v>0</v>
      </c>
      <c r="AY207" s="54" t="s">
        <v>667</v>
      </c>
      <c r="AZ207" s="54" t="s">
        <v>668</v>
      </c>
      <c r="BA207" s="36" t="s">
        <v>116</v>
      </c>
      <c r="BC207" s="53">
        <f t="shared" si="219"/>
        <v>0</v>
      </c>
      <c r="BD207" s="53">
        <f t="shared" si="220"/>
        <v>0</v>
      </c>
      <c r="BE207" s="53">
        <v>0</v>
      </c>
      <c r="BF207" s="53">
        <f>207</f>
        <v>207</v>
      </c>
      <c r="BH207" s="53">
        <f t="shared" si="221"/>
        <v>0</v>
      </c>
      <c r="BI207" s="53">
        <f t="shared" si="222"/>
        <v>0</v>
      </c>
      <c r="BJ207" s="53">
        <f t="shared" si="223"/>
        <v>0</v>
      </c>
      <c r="BK207" s="54" t="s">
        <v>117</v>
      </c>
      <c r="BL207" s="53">
        <v>73</v>
      </c>
      <c r="BW207" s="53">
        <v>21</v>
      </c>
      <c r="BX207" s="3" t="s">
        <v>692</v>
      </c>
    </row>
    <row r="208" spans="1:76" ht="23" x14ac:dyDescent="0.35">
      <c r="A208" s="1" t="s">
        <v>693</v>
      </c>
      <c r="B208" s="2" t="s">
        <v>694</v>
      </c>
      <c r="C208" s="91" t="s">
        <v>695</v>
      </c>
      <c r="D208" s="88"/>
      <c r="E208" s="2" t="s">
        <v>121</v>
      </c>
      <c r="F208" s="53">
        <v>2</v>
      </c>
      <c r="G208" s="77">
        <v>0</v>
      </c>
      <c r="H208" s="53">
        <f t="shared" si="204"/>
        <v>0</v>
      </c>
      <c r="I208" s="79" t="s">
        <v>1688</v>
      </c>
      <c r="J208" s="49"/>
      <c r="Z208" s="53">
        <f t="shared" si="205"/>
        <v>0</v>
      </c>
      <c r="AB208" s="53">
        <f t="shared" si="206"/>
        <v>0</v>
      </c>
      <c r="AC208" s="53">
        <f t="shared" si="207"/>
        <v>0</v>
      </c>
      <c r="AD208" s="53">
        <f t="shared" si="208"/>
        <v>0</v>
      </c>
      <c r="AE208" s="53">
        <f t="shared" si="209"/>
        <v>0</v>
      </c>
      <c r="AF208" s="53">
        <f t="shared" si="210"/>
        <v>0</v>
      </c>
      <c r="AG208" s="53">
        <f t="shared" si="211"/>
        <v>0</v>
      </c>
      <c r="AH208" s="53">
        <f t="shared" si="212"/>
        <v>0</v>
      </c>
      <c r="AI208" s="36" t="s">
        <v>10</v>
      </c>
      <c r="AJ208" s="53">
        <f t="shared" si="213"/>
        <v>0</v>
      </c>
      <c r="AK208" s="53">
        <f t="shared" si="214"/>
        <v>0</v>
      </c>
      <c r="AL208" s="53">
        <f t="shared" si="215"/>
        <v>0</v>
      </c>
      <c r="AN208" s="53">
        <v>21</v>
      </c>
      <c r="AO208" s="53">
        <f>G208*0.833178401</f>
        <v>0</v>
      </c>
      <c r="AP208" s="53">
        <f>G208*(1-0.833178401)</f>
        <v>0</v>
      </c>
      <c r="AQ208" s="54" t="s">
        <v>134</v>
      </c>
      <c r="AV208" s="53">
        <f t="shared" si="216"/>
        <v>0</v>
      </c>
      <c r="AW208" s="53">
        <f t="shared" si="217"/>
        <v>0</v>
      </c>
      <c r="AX208" s="53">
        <f t="shared" si="218"/>
        <v>0</v>
      </c>
      <c r="AY208" s="54" t="s">
        <v>667</v>
      </c>
      <c r="AZ208" s="54" t="s">
        <v>668</v>
      </c>
      <c r="BA208" s="36" t="s">
        <v>116</v>
      </c>
      <c r="BC208" s="53">
        <f t="shared" si="219"/>
        <v>0</v>
      </c>
      <c r="BD208" s="53">
        <f t="shared" si="220"/>
        <v>0</v>
      </c>
      <c r="BE208" s="53">
        <v>0</v>
      </c>
      <c r="BF208" s="53">
        <f>208</f>
        <v>208</v>
      </c>
      <c r="BH208" s="53">
        <f t="shared" si="221"/>
        <v>0</v>
      </c>
      <c r="BI208" s="53">
        <f t="shared" si="222"/>
        <v>0</v>
      </c>
      <c r="BJ208" s="53">
        <f t="shared" si="223"/>
        <v>0</v>
      </c>
      <c r="BK208" s="54" t="s">
        <v>117</v>
      </c>
      <c r="BL208" s="53">
        <v>73</v>
      </c>
      <c r="BW208" s="53">
        <v>21</v>
      </c>
      <c r="BX208" s="3" t="s">
        <v>695</v>
      </c>
    </row>
    <row r="209" spans="1:76" ht="35" customHeight="1" x14ac:dyDescent="0.35">
      <c r="A209" s="1" t="s">
        <v>696</v>
      </c>
      <c r="B209" s="2" t="s">
        <v>697</v>
      </c>
      <c r="C209" s="91" t="s">
        <v>698</v>
      </c>
      <c r="D209" s="88"/>
      <c r="E209" s="2" t="s">
        <v>121</v>
      </c>
      <c r="F209" s="53">
        <v>6</v>
      </c>
      <c r="G209" s="77">
        <v>0</v>
      </c>
      <c r="H209" s="53">
        <f t="shared" si="204"/>
        <v>0</v>
      </c>
      <c r="I209" s="79" t="s">
        <v>1688</v>
      </c>
      <c r="J209" s="49"/>
      <c r="Z209" s="53">
        <f t="shared" si="205"/>
        <v>0</v>
      </c>
      <c r="AB209" s="53">
        <f t="shared" si="206"/>
        <v>0</v>
      </c>
      <c r="AC209" s="53">
        <f t="shared" si="207"/>
        <v>0</v>
      </c>
      <c r="AD209" s="53">
        <f t="shared" si="208"/>
        <v>0</v>
      </c>
      <c r="AE209" s="53">
        <f t="shared" si="209"/>
        <v>0</v>
      </c>
      <c r="AF209" s="53">
        <f t="shared" si="210"/>
        <v>0</v>
      </c>
      <c r="AG209" s="53">
        <f t="shared" si="211"/>
        <v>0</v>
      </c>
      <c r="AH209" s="53">
        <f t="shared" si="212"/>
        <v>0</v>
      </c>
      <c r="AI209" s="36" t="s">
        <v>10</v>
      </c>
      <c r="AJ209" s="53">
        <f t="shared" si="213"/>
        <v>0</v>
      </c>
      <c r="AK209" s="53">
        <f t="shared" si="214"/>
        <v>0</v>
      </c>
      <c r="AL209" s="53">
        <f t="shared" si="215"/>
        <v>0</v>
      </c>
      <c r="AN209" s="53">
        <v>21</v>
      </c>
      <c r="AO209" s="53">
        <f>G209*0.831042927</f>
        <v>0</v>
      </c>
      <c r="AP209" s="53">
        <f>G209*(1-0.831042927)</f>
        <v>0</v>
      </c>
      <c r="AQ209" s="54" t="s">
        <v>134</v>
      </c>
      <c r="AV209" s="53">
        <f t="shared" si="216"/>
        <v>0</v>
      </c>
      <c r="AW209" s="53">
        <f t="shared" si="217"/>
        <v>0</v>
      </c>
      <c r="AX209" s="53">
        <f t="shared" si="218"/>
        <v>0</v>
      </c>
      <c r="AY209" s="54" t="s">
        <v>667</v>
      </c>
      <c r="AZ209" s="54" t="s">
        <v>668</v>
      </c>
      <c r="BA209" s="36" t="s">
        <v>116</v>
      </c>
      <c r="BC209" s="53">
        <f t="shared" si="219"/>
        <v>0</v>
      </c>
      <c r="BD209" s="53">
        <f t="shared" si="220"/>
        <v>0</v>
      </c>
      <c r="BE209" s="53">
        <v>0</v>
      </c>
      <c r="BF209" s="53">
        <f>209</f>
        <v>209</v>
      </c>
      <c r="BH209" s="53">
        <f t="shared" si="221"/>
        <v>0</v>
      </c>
      <c r="BI209" s="53">
        <f t="shared" si="222"/>
        <v>0</v>
      </c>
      <c r="BJ209" s="53">
        <f t="shared" si="223"/>
        <v>0</v>
      </c>
      <c r="BK209" s="54" t="s">
        <v>117</v>
      </c>
      <c r="BL209" s="53">
        <v>73</v>
      </c>
      <c r="BW209" s="53">
        <v>21</v>
      </c>
      <c r="BX209" s="3" t="s">
        <v>698</v>
      </c>
    </row>
    <row r="210" spans="1:76" ht="35" customHeight="1" x14ac:dyDescent="0.35">
      <c r="A210" s="1" t="s">
        <v>699</v>
      </c>
      <c r="B210" s="2" t="s">
        <v>700</v>
      </c>
      <c r="C210" s="91" t="s">
        <v>701</v>
      </c>
      <c r="D210" s="88"/>
      <c r="E210" s="2" t="s">
        <v>434</v>
      </c>
      <c r="F210" s="53">
        <v>6</v>
      </c>
      <c r="G210" s="77">
        <v>0</v>
      </c>
      <c r="H210" s="53">
        <f t="shared" si="204"/>
        <v>0</v>
      </c>
      <c r="I210" s="79" t="s">
        <v>1688</v>
      </c>
      <c r="J210" s="49"/>
      <c r="Z210" s="53">
        <f t="shared" si="205"/>
        <v>0</v>
      </c>
      <c r="AB210" s="53">
        <f t="shared" si="206"/>
        <v>0</v>
      </c>
      <c r="AC210" s="53">
        <f t="shared" si="207"/>
        <v>0</v>
      </c>
      <c r="AD210" s="53">
        <f t="shared" si="208"/>
        <v>0</v>
      </c>
      <c r="AE210" s="53">
        <f t="shared" si="209"/>
        <v>0</v>
      </c>
      <c r="AF210" s="53">
        <f t="shared" si="210"/>
        <v>0</v>
      </c>
      <c r="AG210" s="53">
        <f t="shared" si="211"/>
        <v>0</v>
      </c>
      <c r="AH210" s="53">
        <f t="shared" si="212"/>
        <v>0</v>
      </c>
      <c r="AI210" s="36" t="s">
        <v>10</v>
      </c>
      <c r="AJ210" s="53">
        <f t="shared" si="213"/>
        <v>0</v>
      </c>
      <c r="AK210" s="53">
        <f t="shared" si="214"/>
        <v>0</v>
      </c>
      <c r="AL210" s="53">
        <f t="shared" si="215"/>
        <v>0</v>
      </c>
      <c r="AN210" s="53">
        <v>21</v>
      </c>
      <c r="AO210" s="53">
        <f>G210*0.838757551</f>
        <v>0</v>
      </c>
      <c r="AP210" s="53">
        <f>G210*(1-0.838757551)</f>
        <v>0</v>
      </c>
      <c r="AQ210" s="54" t="s">
        <v>134</v>
      </c>
      <c r="AV210" s="53">
        <f t="shared" si="216"/>
        <v>0</v>
      </c>
      <c r="AW210" s="53">
        <f t="shared" si="217"/>
        <v>0</v>
      </c>
      <c r="AX210" s="53">
        <f t="shared" si="218"/>
        <v>0</v>
      </c>
      <c r="AY210" s="54" t="s">
        <v>667</v>
      </c>
      <c r="AZ210" s="54" t="s">
        <v>668</v>
      </c>
      <c r="BA210" s="36" t="s">
        <v>116</v>
      </c>
      <c r="BC210" s="53">
        <f t="shared" si="219"/>
        <v>0</v>
      </c>
      <c r="BD210" s="53">
        <f t="shared" si="220"/>
        <v>0</v>
      </c>
      <c r="BE210" s="53">
        <v>0</v>
      </c>
      <c r="BF210" s="53">
        <f>210</f>
        <v>210</v>
      </c>
      <c r="BH210" s="53">
        <f t="shared" si="221"/>
        <v>0</v>
      </c>
      <c r="BI210" s="53">
        <f t="shared" si="222"/>
        <v>0</v>
      </c>
      <c r="BJ210" s="53">
        <f t="shared" si="223"/>
        <v>0</v>
      </c>
      <c r="BK210" s="54" t="s">
        <v>117</v>
      </c>
      <c r="BL210" s="53">
        <v>73</v>
      </c>
      <c r="BW210" s="53">
        <v>21</v>
      </c>
      <c r="BX210" s="3" t="s">
        <v>701</v>
      </c>
    </row>
    <row r="211" spans="1:76" ht="35" customHeight="1" x14ac:dyDescent="0.35">
      <c r="A211" s="1" t="s">
        <v>702</v>
      </c>
      <c r="B211" s="2" t="s">
        <v>703</v>
      </c>
      <c r="C211" s="91" t="s">
        <v>704</v>
      </c>
      <c r="D211" s="88"/>
      <c r="E211" s="2" t="s">
        <v>121</v>
      </c>
      <c r="F211" s="53">
        <v>12</v>
      </c>
      <c r="G211" s="77">
        <v>0</v>
      </c>
      <c r="H211" s="53">
        <f t="shared" si="204"/>
        <v>0</v>
      </c>
      <c r="I211" s="79" t="s">
        <v>1688</v>
      </c>
      <c r="J211" s="49"/>
      <c r="Z211" s="53">
        <f t="shared" si="205"/>
        <v>0</v>
      </c>
      <c r="AB211" s="53">
        <f t="shared" si="206"/>
        <v>0</v>
      </c>
      <c r="AC211" s="53">
        <f t="shared" si="207"/>
        <v>0</v>
      </c>
      <c r="AD211" s="53">
        <f t="shared" si="208"/>
        <v>0</v>
      </c>
      <c r="AE211" s="53">
        <f t="shared" si="209"/>
        <v>0</v>
      </c>
      <c r="AF211" s="53">
        <f t="shared" si="210"/>
        <v>0</v>
      </c>
      <c r="AG211" s="53">
        <f t="shared" si="211"/>
        <v>0</v>
      </c>
      <c r="AH211" s="53">
        <f t="shared" si="212"/>
        <v>0</v>
      </c>
      <c r="AI211" s="36" t="s">
        <v>10</v>
      </c>
      <c r="AJ211" s="53">
        <f t="shared" si="213"/>
        <v>0</v>
      </c>
      <c r="AK211" s="53">
        <f t="shared" si="214"/>
        <v>0</v>
      </c>
      <c r="AL211" s="53">
        <f t="shared" si="215"/>
        <v>0</v>
      </c>
      <c r="AN211" s="53">
        <v>21</v>
      </c>
      <c r="AO211" s="53">
        <f>G211*0</f>
        <v>0</v>
      </c>
      <c r="AP211" s="53">
        <f>G211*(1-0)</f>
        <v>0</v>
      </c>
      <c r="AQ211" s="54" t="s">
        <v>134</v>
      </c>
      <c r="AV211" s="53">
        <f t="shared" si="216"/>
        <v>0</v>
      </c>
      <c r="AW211" s="53">
        <f t="shared" si="217"/>
        <v>0</v>
      </c>
      <c r="AX211" s="53">
        <f t="shared" si="218"/>
        <v>0</v>
      </c>
      <c r="AY211" s="54" t="s">
        <v>667</v>
      </c>
      <c r="AZ211" s="54" t="s">
        <v>668</v>
      </c>
      <c r="BA211" s="36" t="s">
        <v>116</v>
      </c>
      <c r="BC211" s="53">
        <f t="shared" si="219"/>
        <v>0</v>
      </c>
      <c r="BD211" s="53">
        <f t="shared" si="220"/>
        <v>0</v>
      </c>
      <c r="BE211" s="53">
        <v>0</v>
      </c>
      <c r="BF211" s="53">
        <f>211</f>
        <v>211</v>
      </c>
      <c r="BH211" s="53">
        <f t="shared" si="221"/>
        <v>0</v>
      </c>
      <c r="BI211" s="53">
        <f t="shared" si="222"/>
        <v>0</v>
      </c>
      <c r="BJ211" s="53">
        <f t="shared" si="223"/>
        <v>0</v>
      </c>
      <c r="BK211" s="54" t="s">
        <v>117</v>
      </c>
      <c r="BL211" s="53">
        <v>73</v>
      </c>
      <c r="BW211" s="53">
        <v>21</v>
      </c>
      <c r="BX211" s="3" t="s">
        <v>704</v>
      </c>
    </row>
    <row r="212" spans="1:76" ht="14.5" x14ac:dyDescent="0.35">
      <c r="A212" s="50" t="s">
        <v>10</v>
      </c>
      <c r="B212" s="51" t="s">
        <v>705</v>
      </c>
      <c r="C212" s="172" t="s">
        <v>706</v>
      </c>
      <c r="D212" s="173"/>
      <c r="E212" s="52" t="s">
        <v>75</v>
      </c>
      <c r="F212" s="52" t="s">
        <v>75</v>
      </c>
      <c r="G212" s="52" t="s">
        <v>75</v>
      </c>
      <c r="H212" s="28">
        <f>SUM(H213:H223)</f>
        <v>0</v>
      </c>
      <c r="I212" s="36" t="s">
        <v>10</v>
      </c>
      <c r="J212" s="49"/>
      <c r="AI212" s="36" t="s">
        <v>10</v>
      </c>
      <c r="AS212" s="28">
        <f>SUM(AJ213:AJ223)</f>
        <v>0</v>
      </c>
      <c r="AT212" s="28">
        <f>SUM(AK213:AK223)</f>
        <v>0</v>
      </c>
      <c r="AU212" s="28">
        <f>SUM(AL213:AL223)</f>
        <v>0</v>
      </c>
    </row>
    <row r="213" spans="1:76" ht="35" customHeight="1" x14ac:dyDescent="0.35">
      <c r="A213" s="1" t="s">
        <v>707</v>
      </c>
      <c r="B213" s="2" t="s">
        <v>708</v>
      </c>
      <c r="C213" s="91" t="s">
        <v>709</v>
      </c>
      <c r="D213" s="88"/>
      <c r="E213" s="2" t="s">
        <v>113</v>
      </c>
      <c r="F213" s="53">
        <v>42.51</v>
      </c>
      <c r="G213" s="77">
        <v>0</v>
      </c>
      <c r="H213" s="53">
        <f t="shared" ref="H213:H223" si="224">ROUND(F213*G213,2)</f>
        <v>0</v>
      </c>
      <c r="I213" s="79" t="s">
        <v>1688</v>
      </c>
      <c r="J213" s="49"/>
      <c r="Z213" s="53">
        <f t="shared" ref="Z213:Z223" si="225">ROUND(IF(AQ213="5",BJ213,0),2)</f>
        <v>0</v>
      </c>
      <c r="AB213" s="53">
        <f t="shared" ref="AB213:AB223" si="226">ROUND(IF(AQ213="1",BH213,0),2)</f>
        <v>0</v>
      </c>
      <c r="AC213" s="53">
        <f t="shared" ref="AC213:AC223" si="227">ROUND(IF(AQ213="1",BI213,0),2)</f>
        <v>0</v>
      </c>
      <c r="AD213" s="53">
        <f t="shared" ref="AD213:AD223" si="228">ROUND(IF(AQ213="7",BH213,0),2)</f>
        <v>0</v>
      </c>
      <c r="AE213" s="53">
        <f t="shared" ref="AE213:AE223" si="229">ROUND(IF(AQ213="7",BI213,0),2)</f>
        <v>0</v>
      </c>
      <c r="AF213" s="53">
        <f t="shared" ref="AF213:AF223" si="230">ROUND(IF(AQ213="2",BH213,0),2)</f>
        <v>0</v>
      </c>
      <c r="AG213" s="53">
        <f t="shared" ref="AG213:AG223" si="231">ROUND(IF(AQ213="2",BI213,0),2)</f>
        <v>0</v>
      </c>
      <c r="AH213" s="53">
        <f t="shared" ref="AH213:AH223" si="232">ROUND(IF(AQ213="0",BJ213,0),2)</f>
        <v>0</v>
      </c>
      <c r="AI213" s="36" t="s">
        <v>10</v>
      </c>
      <c r="AJ213" s="53">
        <f t="shared" ref="AJ213:AJ223" si="233">IF(AN213=0,H213,0)</f>
        <v>0</v>
      </c>
      <c r="AK213" s="53">
        <f t="shared" ref="AK213:AK223" si="234">IF(AN213=12,H213,0)</f>
        <v>0</v>
      </c>
      <c r="AL213" s="53">
        <f t="shared" ref="AL213:AL223" si="235">IF(AN213=21,H213,0)</f>
        <v>0</v>
      </c>
      <c r="AN213" s="53">
        <v>21</v>
      </c>
      <c r="AO213" s="53">
        <f>G213*0.419611579</f>
        <v>0</v>
      </c>
      <c r="AP213" s="53">
        <f>G213*(1-0.419611579)</f>
        <v>0</v>
      </c>
      <c r="AQ213" s="54" t="s">
        <v>134</v>
      </c>
      <c r="AV213" s="53">
        <f t="shared" ref="AV213:AV223" si="236">ROUND(AW213+AX213,2)</f>
        <v>0</v>
      </c>
      <c r="AW213" s="53">
        <f t="shared" ref="AW213:AW223" si="237">ROUND(F213*AO213,2)</f>
        <v>0</v>
      </c>
      <c r="AX213" s="53">
        <f t="shared" ref="AX213:AX223" si="238">ROUND(F213*AP213,2)</f>
        <v>0</v>
      </c>
      <c r="AY213" s="54" t="s">
        <v>710</v>
      </c>
      <c r="AZ213" s="54" t="s">
        <v>711</v>
      </c>
      <c r="BA213" s="36" t="s">
        <v>116</v>
      </c>
      <c r="BC213" s="53">
        <f t="shared" ref="BC213:BC223" si="239">AW213+AX213</f>
        <v>0</v>
      </c>
      <c r="BD213" s="53">
        <f t="shared" ref="BD213:BD223" si="240">G213/(100-BE213)*100</f>
        <v>0</v>
      </c>
      <c r="BE213" s="53">
        <v>0</v>
      </c>
      <c r="BF213" s="53">
        <f>213</f>
        <v>213</v>
      </c>
      <c r="BH213" s="53">
        <f t="shared" ref="BH213:BH223" si="241">F213*AO213</f>
        <v>0</v>
      </c>
      <c r="BI213" s="53">
        <f t="shared" ref="BI213:BI223" si="242">F213*AP213</f>
        <v>0</v>
      </c>
      <c r="BJ213" s="53">
        <f t="shared" ref="BJ213:BJ223" si="243">F213*G213</f>
        <v>0</v>
      </c>
      <c r="BK213" s="54" t="s">
        <v>117</v>
      </c>
      <c r="BL213" s="53">
        <v>766</v>
      </c>
      <c r="BW213" s="53">
        <v>21</v>
      </c>
      <c r="BX213" s="3" t="s">
        <v>709</v>
      </c>
    </row>
    <row r="214" spans="1:76" ht="23" x14ac:dyDescent="0.35">
      <c r="A214" s="1" t="s">
        <v>712</v>
      </c>
      <c r="B214" s="2" t="s">
        <v>713</v>
      </c>
      <c r="C214" s="91" t="s">
        <v>714</v>
      </c>
      <c r="D214" s="88"/>
      <c r="E214" s="2" t="s">
        <v>121</v>
      </c>
      <c r="F214" s="53">
        <v>32</v>
      </c>
      <c r="G214" s="77">
        <v>0</v>
      </c>
      <c r="H214" s="53">
        <f t="shared" si="224"/>
        <v>0</v>
      </c>
      <c r="I214" s="79" t="s">
        <v>1688</v>
      </c>
      <c r="J214" s="49"/>
      <c r="Z214" s="53">
        <f t="shared" si="225"/>
        <v>0</v>
      </c>
      <c r="AB214" s="53">
        <f t="shared" si="226"/>
        <v>0</v>
      </c>
      <c r="AC214" s="53">
        <f t="shared" si="227"/>
        <v>0</v>
      </c>
      <c r="AD214" s="53">
        <f t="shared" si="228"/>
        <v>0</v>
      </c>
      <c r="AE214" s="53">
        <f t="shared" si="229"/>
        <v>0</v>
      </c>
      <c r="AF214" s="53">
        <f t="shared" si="230"/>
        <v>0</v>
      </c>
      <c r="AG214" s="53">
        <f t="shared" si="231"/>
        <v>0</v>
      </c>
      <c r="AH214" s="53">
        <f t="shared" si="232"/>
        <v>0</v>
      </c>
      <c r="AI214" s="36" t="s">
        <v>10</v>
      </c>
      <c r="AJ214" s="53">
        <f t="shared" si="233"/>
        <v>0</v>
      </c>
      <c r="AK214" s="53">
        <f t="shared" si="234"/>
        <v>0</v>
      </c>
      <c r="AL214" s="53">
        <f t="shared" si="235"/>
        <v>0</v>
      </c>
      <c r="AN214" s="53">
        <v>21</v>
      </c>
      <c r="AO214" s="53">
        <f>G214*0</f>
        <v>0</v>
      </c>
      <c r="AP214" s="53">
        <f>G214*(1-0)</f>
        <v>0</v>
      </c>
      <c r="AQ214" s="54" t="s">
        <v>134</v>
      </c>
      <c r="AV214" s="53">
        <f t="shared" si="236"/>
        <v>0</v>
      </c>
      <c r="AW214" s="53">
        <f t="shared" si="237"/>
        <v>0</v>
      </c>
      <c r="AX214" s="53">
        <f t="shared" si="238"/>
        <v>0</v>
      </c>
      <c r="AY214" s="54" t="s">
        <v>710</v>
      </c>
      <c r="AZ214" s="54" t="s">
        <v>711</v>
      </c>
      <c r="BA214" s="36" t="s">
        <v>116</v>
      </c>
      <c r="BC214" s="53">
        <f t="shared" si="239"/>
        <v>0</v>
      </c>
      <c r="BD214" s="53">
        <f t="shared" si="240"/>
        <v>0</v>
      </c>
      <c r="BE214" s="53">
        <v>0</v>
      </c>
      <c r="BF214" s="53">
        <f>214</f>
        <v>214</v>
      </c>
      <c r="BH214" s="53">
        <f t="shared" si="241"/>
        <v>0</v>
      </c>
      <c r="BI214" s="53">
        <f t="shared" si="242"/>
        <v>0</v>
      </c>
      <c r="BJ214" s="53">
        <f t="shared" si="243"/>
        <v>0</v>
      </c>
      <c r="BK214" s="54" t="s">
        <v>117</v>
      </c>
      <c r="BL214" s="53">
        <v>766</v>
      </c>
      <c r="BW214" s="53">
        <v>21</v>
      </c>
      <c r="BX214" s="3" t="s">
        <v>714</v>
      </c>
    </row>
    <row r="215" spans="1:76" ht="23" x14ac:dyDescent="0.35">
      <c r="A215" s="1" t="s">
        <v>715</v>
      </c>
      <c r="B215" s="2" t="s">
        <v>716</v>
      </c>
      <c r="C215" s="91" t="s">
        <v>717</v>
      </c>
      <c r="D215" s="88"/>
      <c r="E215" s="2" t="s">
        <v>121</v>
      </c>
      <c r="F215" s="53">
        <v>32</v>
      </c>
      <c r="G215" s="77">
        <v>0</v>
      </c>
      <c r="H215" s="53">
        <f t="shared" si="224"/>
        <v>0</v>
      </c>
      <c r="I215" s="79" t="s">
        <v>1688</v>
      </c>
      <c r="J215" s="49"/>
      <c r="Z215" s="53">
        <f t="shared" si="225"/>
        <v>0</v>
      </c>
      <c r="AB215" s="53">
        <f t="shared" si="226"/>
        <v>0</v>
      </c>
      <c r="AC215" s="53">
        <f t="shared" si="227"/>
        <v>0</v>
      </c>
      <c r="AD215" s="53">
        <f t="shared" si="228"/>
        <v>0</v>
      </c>
      <c r="AE215" s="53">
        <f t="shared" si="229"/>
        <v>0</v>
      </c>
      <c r="AF215" s="53">
        <f t="shared" si="230"/>
        <v>0</v>
      </c>
      <c r="AG215" s="53">
        <f t="shared" si="231"/>
        <v>0</v>
      </c>
      <c r="AH215" s="53">
        <f t="shared" si="232"/>
        <v>0</v>
      </c>
      <c r="AI215" s="36" t="s">
        <v>10</v>
      </c>
      <c r="AJ215" s="53">
        <f t="shared" si="233"/>
        <v>0</v>
      </c>
      <c r="AK215" s="53">
        <f t="shared" si="234"/>
        <v>0</v>
      </c>
      <c r="AL215" s="53">
        <f t="shared" si="235"/>
        <v>0</v>
      </c>
      <c r="AN215" s="53">
        <v>21</v>
      </c>
      <c r="AO215" s="53">
        <f>G215*0</f>
        <v>0</v>
      </c>
      <c r="AP215" s="53">
        <f>G215*(1-0)</f>
        <v>0</v>
      </c>
      <c r="AQ215" s="54" t="s">
        <v>134</v>
      </c>
      <c r="AV215" s="53">
        <f t="shared" si="236"/>
        <v>0</v>
      </c>
      <c r="AW215" s="53">
        <f t="shared" si="237"/>
        <v>0</v>
      </c>
      <c r="AX215" s="53">
        <f t="shared" si="238"/>
        <v>0</v>
      </c>
      <c r="AY215" s="54" t="s">
        <v>710</v>
      </c>
      <c r="AZ215" s="54" t="s">
        <v>711</v>
      </c>
      <c r="BA215" s="36" t="s">
        <v>116</v>
      </c>
      <c r="BC215" s="53">
        <f t="shared" si="239"/>
        <v>0</v>
      </c>
      <c r="BD215" s="53">
        <f t="shared" si="240"/>
        <v>0</v>
      </c>
      <c r="BE215" s="53">
        <v>0</v>
      </c>
      <c r="BF215" s="53">
        <f>215</f>
        <v>215</v>
      </c>
      <c r="BH215" s="53">
        <f t="shared" si="241"/>
        <v>0</v>
      </c>
      <c r="BI215" s="53">
        <f t="shared" si="242"/>
        <v>0</v>
      </c>
      <c r="BJ215" s="53">
        <f t="shared" si="243"/>
        <v>0</v>
      </c>
      <c r="BK215" s="54" t="s">
        <v>117</v>
      </c>
      <c r="BL215" s="53">
        <v>766</v>
      </c>
      <c r="BW215" s="53">
        <v>21</v>
      </c>
      <c r="BX215" s="3" t="s">
        <v>717</v>
      </c>
    </row>
    <row r="216" spans="1:76" ht="23" x14ac:dyDescent="0.35">
      <c r="A216" s="1" t="s">
        <v>718</v>
      </c>
      <c r="B216" s="2" t="s">
        <v>719</v>
      </c>
      <c r="C216" s="91" t="s">
        <v>720</v>
      </c>
      <c r="D216" s="88"/>
      <c r="E216" s="2" t="s">
        <v>434</v>
      </c>
      <c r="F216" s="53">
        <v>17</v>
      </c>
      <c r="G216" s="77">
        <v>0</v>
      </c>
      <c r="H216" s="53">
        <f t="shared" si="224"/>
        <v>0</v>
      </c>
      <c r="I216" s="79" t="s">
        <v>1688</v>
      </c>
      <c r="J216" s="49"/>
      <c r="Z216" s="53">
        <f t="shared" si="225"/>
        <v>0</v>
      </c>
      <c r="AB216" s="53">
        <f t="shared" si="226"/>
        <v>0</v>
      </c>
      <c r="AC216" s="53">
        <f t="shared" si="227"/>
        <v>0</v>
      </c>
      <c r="AD216" s="53">
        <f t="shared" si="228"/>
        <v>0</v>
      </c>
      <c r="AE216" s="53">
        <f t="shared" si="229"/>
        <v>0</v>
      </c>
      <c r="AF216" s="53">
        <f t="shared" si="230"/>
        <v>0</v>
      </c>
      <c r="AG216" s="53">
        <f t="shared" si="231"/>
        <v>0</v>
      </c>
      <c r="AH216" s="53">
        <f t="shared" si="232"/>
        <v>0</v>
      </c>
      <c r="AI216" s="36" t="s">
        <v>10</v>
      </c>
      <c r="AJ216" s="53">
        <f t="shared" si="233"/>
        <v>0</v>
      </c>
      <c r="AK216" s="53">
        <f t="shared" si="234"/>
        <v>0</v>
      </c>
      <c r="AL216" s="53">
        <f t="shared" si="235"/>
        <v>0</v>
      </c>
      <c r="AN216" s="53">
        <v>21</v>
      </c>
      <c r="AO216" s="53">
        <f>G216*0.999996979</f>
        <v>0</v>
      </c>
      <c r="AP216" s="53">
        <f>G216*(1-0.999996979)</f>
        <v>0</v>
      </c>
      <c r="AQ216" s="54" t="s">
        <v>134</v>
      </c>
      <c r="AV216" s="53">
        <f t="shared" si="236"/>
        <v>0</v>
      </c>
      <c r="AW216" s="53">
        <f t="shared" si="237"/>
        <v>0</v>
      </c>
      <c r="AX216" s="53">
        <f t="shared" si="238"/>
        <v>0</v>
      </c>
      <c r="AY216" s="54" t="s">
        <v>710</v>
      </c>
      <c r="AZ216" s="54" t="s">
        <v>711</v>
      </c>
      <c r="BA216" s="36" t="s">
        <v>116</v>
      </c>
      <c r="BC216" s="53">
        <f t="shared" si="239"/>
        <v>0</v>
      </c>
      <c r="BD216" s="53">
        <f t="shared" si="240"/>
        <v>0</v>
      </c>
      <c r="BE216" s="53">
        <v>0</v>
      </c>
      <c r="BF216" s="53">
        <f>216</f>
        <v>216</v>
      </c>
      <c r="BH216" s="53">
        <f t="shared" si="241"/>
        <v>0</v>
      </c>
      <c r="BI216" s="53">
        <f t="shared" si="242"/>
        <v>0</v>
      </c>
      <c r="BJ216" s="53">
        <f t="shared" si="243"/>
        <v>0</v>
      </c>
      <c r="BK216" s="54" t="s">
        <v>117</v>
      </c>
      <c r="BL216" s="53">
        <v>766</v>
      </c>
      <c r="BW216" s="53">
        <v>21</v>
      </c>
      <c r="BX216" s="3" t="s">
        <v>720</v>
      </c>
    </row>
    <row r="217" spans="1:76" ht="23" x14ac:dyDescent="0.35">
      <c r="A217" s="1" t="s">
        <v>721</v>
      </c>
      <c r="B217" s="2" t="s">
        <v>722</v>
      </c>
      <c r="C217" s="91" t="s">
        <v>723</v>
      </c>
      <c r="D217" s="88"/>
      <c r="E217" s="2" t="s">
        <v>434</v>
      </c>
      <c r="F217" s="53">
        <v>4</v>
      </c>
      <c r="G217" s="77">
        <v>0</v>
      </c>
      <c r="H217" s="53">
        <f t="shared" si="224"/>
        <v>0</v>
      </c>
      <c r="I217" s="79" t="s">
        <v>1688</v>
      </c>
      <c r="J217" s="49"/>
      <c r="Z217" s="53">
        <f t="shared" si="225"/>
        <v>0</v>
      </c>
      <c r="AB217" s="53">
        <f t="shared" si="226"/>
        <v>0</v>
      </c>
      <c r="AC217" s="53">
        <f t="shared" si="227"/>
        <v>0</v>
      </c>
      <c r="AD217" s="53">
        <f t="shared" si="228"/>
        <v>0</v>
      </c>
      <c r="AE217" s="53">
        <f t="shared" si="229"/>
        <v>0</v>
      </c>
      <c r="AF217" s="53">
        <f t="shared" si="230"/>
        <v>0</v>
      </c>
      <c r="AG217" s="53">
        <f t="shared" si="231"/>
        <v>0</v>
      </c>
      <c r="AH217" s="53">
        <f t="shared" si="232"/>
        <v>0</v>
      </c>
      <c r="AI217" s="36" t="s">
        <v>10</v>
      </c>
      <c r="AJ217" s="53">
        <f t="shared" si="233"/>
        <v>0</v>
      </c>
      <c r="AK217" s="53">
        <f t="shared" si="234"/>
        <v>0</v>
      </c>
      <c r="AL217" s="53">
        <f t="shared" si="235"/>
        <v>0</v>
      </c>
      <c r="AN217" s="53">
        <v>21</v>
      </c>
      <c r="AO217" s="53">
        <f>G217*1.000015801</f>
        <v>0</v>
      </c>
      <c r="AP217" s="53">
        <f>G217*(1-1.000015801)</f>
        <v>0</v>
      </c>
      <c r="AQ217" s="54" t="s">
        <v>134</v>
      </c>
      <c r="AV217" s="53">
        <f t="shared" si="236"/>
        <v>0</v>
      </c>
      <c r="AW217" s="53">
        <f t="shared" si="237"/>
        <v>0</v>
      </c>
      <c r="AX217" s="53">
        <f t="shared" si="238"/>
        <v>0</v>
      </c>
      <c r="AY217" s="54" t="s">
        <v>710</v>
      </c>
      <c r="AZ217" s="54" t="s">
        <v>711</v>
      </c>
      <c r="BA217" s="36" t="s">
        <v>116</v>
      </c>
      <c r="BC217" s="53">
        <f t="shared" si="239"/>
        <v>0</v>
      </c>
      <c r="BD217" s="53">
        <f t="shared" si="240"/>
        <v>0</v>
      </c>
      <c r="BE217" s="53">
        <v>0</v>
      </c>
      <c r="BF217" s="53">
        <f>217</f>
        <v>217</v>
      </c>
      <c r="BH217" s="53">
        <f t="shared" si="241"/>
        <v>0</v>
      </c>
      <c r="BI217" s="53">
        <f t="shared" si="242"/>
        <v>0</v>
      </c>
      <c r="BJ217" s="53">
        <f t="shared" si="243"/>
        <v>0</v>
      </c>
      <c r="BK217" s="54" t="s">
        <v>117</v>
      </c>
      <c r="BL217" s="53">
        <v>766</v>
      </c>
      <c r="BW217" s="53">
        <v>21</v>
      </c>
      <c r="BX217" s="3" t="s">
        <v>723</v>
      </c>
    </row>
    <row r="218" spans="1:76" ht="23" x14ac:dyDescent="0.35">
      <c r="A218" s="1" t="s">
        <v>724</v>
      </c>
      <c r="B218" s="2" t="s">
        <v>725</v>
      </c>
      <c r="C218" s="91" t="s">
        <v>726</v>
      </c>
      <c r="D218" s="88"/>
      <c r="E218" s="2" t="s">
        <v>434</v>
      </c>
      <c r="F218" s="53">
        <v>5</v>
      </c>
      <c r="G218" s="77">
        <v>0</v>
      </c>
      <c r="H218" s="53">
        <f t="shared" si="224"/>
        <v>0</v>
      </c>
      <c r="I218" s="79" t="s">
        <v>1688</v>
      </c>
      <c r="J218" s="49"/>
      <c r="Z218" s="53">
        <f t="shared" si="225"/>
        <v>0</v>
      </c>
      <c r="AB218" s="53">
        <f t="shared" si="226"/>
        <v>0</v>
      </c>
      <c r="AC218" s="53">
        <f t="shared" si="227"/>
        <v>0</v>
      </c>
      <c r="AD218" s="53">
        <f t="shared" si="228"/>
        <v>0</v>
      </c>
      <c r="AE218" s="53">
        <f t="shared" si="229"/>
        <v>0</v>
      </c>
      <c r="AF218" s="53">
        <f t="shared" si="230"/>
        <v>0</v>
      </c>
      <c r="AG218" s="53">
        <f t="shared" si="231"/>
        <v>0</v>
      </c>
      <c r="AH218" s="53">
        <f t="shared" si="232"/>
        <v>0</v>
      </c>
      <c r="AI218" s="36" t="s">
        <v>10</v>
      </c>
      <c r="AJ218" s="53">
        <f t="shared" si="233"/>
        <v>0</v>
      </c>
      <c r="AK218" s="53">
        <f t="shared" si="234"/>
        <v>0</v>
      </c>
      <c r="AL218" s="53">
        <f t="shared" si="235"/>
        <v>0</v>
      </c>
      <c r="AN218" s="53">
        <v>21</v>
      </c>
      <c r="AO218" s="53">
        <f>G218*1.000015449</f>
        <v>0</v>
      </c>
      <c r="AP218" s="53">
        <f>G218*(1-1.000015449)</f>
        <v>0</v>
      </c>
      <c r="AQ218" s="54" t="s">
        <v>134</v>
      </c>
      <c r="AV218" s="53">
        <f t="shared" si="236"/>
        <v>0</v>
      </c>
      <c r="AW218" s="53">
        <f t="shared" si="237"/>
        <v>0</v>
      </c>
      <c r="AX218" s="53">
        <f t="shared" si="238"/>
        <v>0</v>
      </c>
      <c r="AY218" s="54" t="s">
        <v>710</v>
      </c>
      <c r="AZ218" s="54" t="s">
        <v>711</v>
      </c>
      <c r="BA218" s="36" t="s">
        <v>116</v>
      </c>
      <c r="BC218" s="53">
        <f t="shared" si="239"/>
        <v>0</v>
      </c>
      <c r="BD218" s="53">
        <f t="shared" si="240"/>
        <v>0</v>
      </c>
      <c r="BE218" s="53">
        <v>0</v>
      </c>
      <c r="BF218" s="53">
        <f>218</f>
        <v>218</v>
      </c>
      <c r="BH218" s="53">
        <f t="shared" si="241"/>
        <v>0</v>
      </c>
      <c r="BI218" s="53">
        <f t="shared" si="242"/>
        <v>0</v>
      </c>
      <c r="BJ218" s="53">
        <f t="shared" si="243"/>
        <v>0</v>
      </c>
      <c r="BK218" s="54" t="s">
        <v>117</v>
      </c>
      <c r="BL218" s="53">
        <v>766</v>
      </c>
      <c r="BW218" s="53">
        <v>21</v>
      </c>
      <c r="BX218" s="3" t="s">
        <v>726</v>
      </c>
    </row>
    <row r="219" spans="1:76" ht="23" x14ac:dyDescent="0.35">
      <c r="A219" s="1" t="s">
        <v>727</v>
      </c>
      <c r="B219" s="2" t="s">
        <v>728</v>
      </c>
      <c r="C219" s="91" t="s">
        <v>729</v>
      </c>
      <c r="D219" s="88"/>
      <c r="E219" s="2" t="s">
        <v>434</v>
      </c>
      <c r="F219" s="53">
        <v>2</v>
      </c>
      <c r="G219" s="77">
        <v>0</v>
      </c>
      <c r="H219" s="53">
        <f t="shared" si="224"/>
        <v>0</v>
      </c>
      <c r="I219" s="79" t="s">
        <v>1688</v>
      </c>
      <c r="J219" s="49"/>
      <c r="Z219" s="53">
        <f t="shared" si="225"/>
        <v>0</v>
      </c>
      <c r="AB219" s="53">
        <f t="shared" si="226"/>
        <v>0</v>
      </c>
      <c r="AC219" s="53">
        <f t="shared" si="227"/>
        <v>0</v>
      </c>
      <c r="AD219" s="53">
        <f t="shared" si="228"/>
        <v>0</v>
      </c>
      <c r="AE219" s="53">
        <f t="shared" si="229"/>
        <v>0</v>
      </c>
      <c r="AF219" s="53">
        <f t="shared" si="230"/>
        <v>0</v>
      </c>
      <c r="AG219" s="53">
        <f t="shared" si="231"/>
        <v>0</v>
      </c>
      <c r="AH219" s="53">
        <f t="shared" si="232"/>
        <v>0</v>
      </c>
      <c r="AI219" s="36" t="s">
        <v>10</v>
      </c>
      <c r="AJ219" s="53">
        <f t="shared" si="233"/>
        <v>0</v>
      </c>
      <c r="AK219" s="53">
        <f t="shared" si="234"/>
        <v>0</v>
      </c>
      <c r="AL219" s="53">
        <f t="shared" si="235"/>
        <v>0</v>
      </c>
      <c r="AN219" s="53">
        <v>21</v>
      </c>
      <c r="AO219" s="53">
        <f>G219*1.000015918</f>
        <v>0</v>
      </c>
      <c r="AP219" s="53">
        <f>G219*(1-1.000015918)</f>
        <v>0</v>
      </c>
      <c r="AQ219" s="54" t="s">
        <v>134</v>
      </c>
      <c r="AV219" s="53">
        <f t="shared" si="236"/>
        <v>0</v>
      </c>
      <c r="AW219" s="53">
        <f t="shared" si="237"/>
        <v>0</v>
      </c>
      <c r="AX219" s="53">
        <f t="shared" si="238"/>
        <v>0</v>
      </c>
      <c r="AY219" s="54" t="s">
        <v>710</v>
      </c>
      <c r="AZ219" s="54" t="s">
        <v>711</v>
      </c>
      <c r="BA219" s="36" t="s">
        <v>116</v>
      </c>
      <c r="BC219" s="53">
        <f t="shared" si="239"/>
        <v>0</v>
      </c>
      <c r="BD219" s="53">
        <f t="shared" si="240"/>
        <v>0</v>
      </c>
      <c r="BE219" s="53">
        <v>0</v>
      </c>
      <c r="BF219" s="53">
        <f>219</f>
        <v>219</v>
      </c>
      <c r="BH219" s="53">
        <f t="shared" si="241"/>
        <v>0</v>
      </c>
      <c r="BI219" s="53">
        <f t="shared" si="242"/>
        <v>0</v>
      </c>
      <c r="BJ219" s="53">
        <f t="shared" si="243"/>
        <v>0</v>
      </c>
      <c r="BK219" s="54" t="s">
        <v>117</v>
      </c>
      <c r="BL219" s="53">
        <v>766</v>
      </c>
      <c r="BW219" s="53">
        <v>21</v>
      </c>
      <c r="BX219" s="3" t="s">
        <v>729</v>
      </c>
    </row>
    <row r="220" spans="1:76" ht="23" x14ac:dyDescent="0.35">
      <c r="A220" s="1" t="s">
        <v>730</v>
      </c>
      <c r="B220" s="2" t="s">
        <v>731</v>
      </c>
      <c r="C220" s="91" t="s">
        <v>732</v>
      </c>
      <c r="D220" s="88"/>
      <c r="E220" s="2" t="s">
        <v>121</v>
      </c>
      <c r="F220" s="53">
        <v>31</v>
      </c>
      <c r="G220" s="77">
        <v>0</v>
      </c>
      <c r="H220" s="53">
        <f t="shared" si="224"/>
        <v>0</v>
      </c>
      <c r="I220" s="79" t="s">
        <v>1688</v>
      </c>
      <c r="J220" s="49"/>
      <c r="Z220" s="53">
        <f t="shared" si="225"/>
        <v>0</v>
      </c>
      <c r="AB220" s="53">
        <f t="shared" si="226"/>
        <v>0</v>
      </c>
      <c r="AC220" s="53">
        <f t="shared" si="227"/>
        <v>0</v>
      </c>
      <c r="AD220" s="53">
        <f t="shared" si="228"/>
        <v>0</v>
      </c>
      <c r="AE220" s="53">
        <f t="shared" si="229"/>
        <v>0</v>
      </c>
      <c r="AF220" s="53">
        <f t="shared" si="230"/>
        <v>0</v>
      </c>
      <c r="AG220" s="53">
        <f t="shared" si="231"/>
        <v>0</v>
      </c>
      <c r="AH220" s="53">
        <f t="shared" si="232"/>
        <v>0</v>
      </c>
      <c r="AI220" s="36" t="s">
        <v>10</v>
      </c>
      <c r="AJ220" s="53">
        <f t="shared" si="233"/>
        <v>0</v>
      </c>
      <c r="AK220" s="53">
        <f t="shared" si="234"/>
        <v>0</v>
      </c>
      <c r="AL220" s="53">
        <f t="shared" si="235"/>
        <v>0</v>
      </c>
      <c r="AN220" s="53">
        <v>21</v>
      </c>
      <c r="AO220" s="53">
        <f>G220*1</f>
        <v>0</v>
      </c>
      <c r="AP220" s="53">
        <f>G220*(1-1)</f>
        <v>0</v>
      </c>
      <c r="AQ220" s="54" t="s">
        <v>134</v>
      </c>
      <c r="AV220" s="53">
        <f t="shared" si="236"/>
        <v>0</v>
      </c>
      <c r="AW220" s="53">
        <f t="shared" si="237"/>
        <v>0</v>
      </c>
      <c r="AX220" s="53">
        <f t="shared" si="238"/>
        <v>0</v>
      </c>
      <c r="AY220" s="54" t="s">
        <v>710</v>
      </c>
      <c r="AZ220" s="54" t="s">
        <v>711</v>
      </c>
      <c r="BA220" s="36" t="s">
        <v>116</v>
      </c>
      <c r="BC220" s="53">
        <f t="shared" si="239"/>
        <v>0</v>
      </c>
      <c r="BD220" s="53">
        <f t="shared" si="240"/>
        <v>0</v>
      </c>
      <c r="BE220" s="53">
        <v>0</v>
      </c>
      <c r="BF220" s="53">
        <f>220</f>
        <v>220</v>
      </c>
      <c r="BH220" s="53">
        <f t="shared" si="241"/>
        <v>0</v>
      </c>
      <c r="BI220" s="53">
        <f t="shared" si="242"/>
        <v>0</v>
      </c>
      <c r="BJ220" s="53">
        <f t="shared" si="243"/>
        <v>0</v>
      </c>
      <c r="BK220" s="54" t="s">
        <v>733</v>
      </c>
      <c r="BL220" s="53">
        <v>766</v>
      </c>
      <c r="BW220" s="53">
        <v>21</v>
      </c>
      <c r="BX220" s="3" t="s">
        <v>732</v>
      </c>
    </row>
    <row r="221" spans="1:76" ht="23" x14ac:dyDescent="0.35">
      <c r="A221" s="1" t="s">
        <v>734</v>
      </c>
      <c r="B221" s="2" t="s">
        <v>735</v>
      </c>
      <c r="C221" s="91" t="s">
        <v>736</v>
      </c>
      <c r="D221" s="88"/>
      <c r="E221" s="2" t="s">
        <v>434</v>
      </c>
      <c r="F221" s="53">
        <v>2</v>
      </c>
      <c r="G221" s="77">
        <v>0</v>
      </c>
      <c r="H221" s="53">
        <f t="shared" si="224"/>
        <v>0</v>
      </c>
      <c r="I221" s="79" t="s">
        <v>1688</v>
      </c>
      <c r="J221" s="49"/>
      <c r="Z221" s="53">
        <f t="shared" si="225"/>
        <v>0</v>
      </c>
      <c r="AB221" s="53">
        <f t="shared" si="226"/>
        <v>0</v>
      </c>
      <c r="AC221" s="53">
        <f t="shared" si="227"/>
        <v>0</v>
      </c>
      <c r="AD221" s="53">
        <f t="shared" si="228"/>
        <v>0</v>
      </c>
      <c r="AE221" s="53">
        <f t="shared" si="229"/>
        <v>0</v>
      </c>
      <c r="AF221" s="53">
        <f t="shared" si="230"/>
        <v>0</v>
      </c>
      <c r="AG221" s="53">
        <f t="shared" si="231"/>
        <v>0</v>
      </c>
      <c r="AH221" s="53">
        <f t="shared" si="232"/>
        <v>0</v>
      </c>
      <c r="AI221" s="36" t="s">
        <v>10</v>
      </c>
      <c r="AJ221" s="53">
        <f t="shared" si="233"/>
        <v>0</v>
      </c>
      <c r="AK221" s="53">
        <f t="shared" si="234"/>
        <v>0</v>
      </c>
      <c r="AL221" s="53">
        <f t="shared" si="235"/>
        <v>0</v>
      </c>
      <c r="AN221" s="53">
        <v>21</v>
      </c>
      <c r="AO221" s="53">
        <f>G221*1</f>
        <v>0</v>
      </c>
      <c r="AP221" s="53">
        <f>G221*(1-1)</f>
        <v>0</v>
      </c>
      <c r="AQ221" s="54" t="s">
        <v>134</v>
      </c>
      <c r="AV221" s="53">
        <f t="shared" si="236"/>
        <v>0</v>
      </c>
      <c r="AW221" s="53">
        <f t="shared" si="237"/>
        <v>0</v>
      </c>
      <c r="AX221" s="53">
        <f t="shared" si="238"/>
        <v>0</v>
      </c>
      <c r="AY221" s="54" t="s">
        <v>710</v>
      </c>
      <c r="AZ221" s="54" t="s">
        <v>711</v>
      </c>
      <c r="BA221" s="36" t="s">
        <v>116</v>
      </c>
      <c r="BC221" s="53">
        <f t="shared" si="239"/>
        <v>0</v>
      </c>
      <c r="BD221" s="53">
        <f t="shared" si="240"/>
        <v>0</v>
      </c>
      <c r="BE221" s="53">
        <v>0</v>
      </c>
      <c r="BF221" s="53">
        <f>221</f>
        <v>221</v>
      </c>
      <c r="BH221" s="53">
        <f t="shared" si="241"/>
        <v>0</v>
      </c>
      <c r="BI221" s="53">
        <f t="shared" si="242"/>
        <v>0</v>
      </c>
      <c r="BJ221" s="53">
        <f t="shared" si="243"/>
        <v>0</v>
      </c>
      <c r="BK221" s="54" t="s">
        <v>733</v>
      </c>
      <c r="BL221" s="53">
        <v>766</v>
      </c>
      <c r="BW221" s="53">
        <v>21</v>
      </c>
      <c r="BX221" s="3" t="s">
        <v>736</v>
      </c>
    </row>
    <row r="222" spans="1:76" ht="23" x14ac:dyDescent="0.35">
      <c r="A222" s="1" t="s">
        <v>737</v>
      </c>
      <c r="B222" s="2" t="s">
        <v>738</v>
      </c>
      <c r="C222" s="91" t="s">
        <v>739</v>
      </c>
      <c r="D222" s="88"/>
      <c r="E222" s="2" t="s">
        <v>434</v>
      </c>
      <c r="F222" s="53">
        <v>1</v>
      </c>
      <c r="G222" s="77">
        <v>0</v>
      </c>
      <c r="H222" s="53">
        <f t="shared" si="224"/>
        <v>0</v>
      </c>
      <c r="I222" s="79" t="s">
        <v>1688</v>
      </c>
      <c r="J222" s="49"/>
      <c r="Z222" s="53">
        <f t="shared" si="225"/>
        <v>0</v>
      </c>
      <c r="AB222" s="53">
        <f t="shared" si="226"/>
        <v>0</v>
      </c>
      <c r="AC222" s="53">
        <f t="shared" si="227"/>
        <v>0</v>
      </c>
      <c r="AD222" s="53">
        <f t="shared" si="228"/>
        <v>0</v>
      </c>
      <c r="AE222" s="53">
        <f t="shared" si="229"/>
        <v>0</v>
      </c>
      <c r="AF222" s="53">
        <f t="shared" si="230"/>
        <v>0</v>
      </c>
      <c r="AG222" s="53">
        <f t="shared" si="231"/>
        <v>0</v>
      </c>
      <c r="AH222" s="53">
        <f t="shared" si="232"/>
        <v>0</v>
      </c>
      <c r="AI222" s="36" t="s">
        <v>10</v>
      </c>
      <c r="AJ222" s="53">
        <f t="shared" si="233"/>
        <v>0</v>
      </c>
      <c r="AK222" s="53">
        <f t="shared" si="234"/>
        <v>0</v>
      </c>
      <c r="AL222" s="53">
        <f t="shared" si="235"/>
        <v>0</v>
      </c>
      <c r="AN222" s="53">
        <v>21</v>
      </c>
      <c r="AO222" s="53">
        <f>G222*1</f>
        <v>0</v>
      </c>
      <c r="AP222" s="53">
        <f>G222*(1-1)</f>
        <v>0</v>
      </c>
      <c r="AQ222" s="54" t="s">
        <v>134</v>
      </c>
      <c r="AV222" s="53">
        <f t="shared" si="236"/>
        <v>0</v>
      </c>
      <c r="AW222" s="53">
        <f t="shared" si="237"/>
        <v>0</v>
      </c>
      <c r="AX222" s="53">
        <f t="shared" si="238"/>
        <v>0</v>
      </c>
      <c r="AY222" s="54" t="s">
        <v>710</v>
      </c>
      <c r="AZ222" s="54" t="s">
        <v>711</v>
      </c>
      <c r="BA222" s="36" t="s">
        <v>116</v>
      </c>
      <c r="BC222" s="53">
        <f t="shared" si="239"/>
        <v>0</v>
      </c>
      <c r="BD222" s="53">
        <f t="shared" si="240"/>
        <v>0</v>
      </c>
      <c r="BE222" s="53">
        <v>0</v>
      </c>
      <c r="BF222" s="53">
        <f>222</f>
        <v>222</v>
      </c>
      <c r="BH222" s="53">
        <f t="shared" si="241"/>
        <v>0</v>
      </c>
      <c r="BI222" s="53">
        <f t="shared" si="242"/>
        <v>0</v>
      </c>
      <c r="BJ222" s="53">
        <f t="shared" si="243"/>
        <v>0</v>
      </c>
      <c r="BK222" s="54" t="s">
        <v>733</v>
      </c>
      <c r="BL222" s="53">
        <v>766</v>
      </c>
      <c r="BW222" s="53">
        <v>21</v>
      </c>
      <c r="BX222" s="3" t="s">
        <v>739</v>
      </c>
    </row>
    <row r="223" spans="1:76" ht="23" x14ac:dyDescent="0.35">
      <c r="A223" s="1" t="s">
        <v>740</v>
      </c>
      <c r="B223" s="2" t="s">
        <v>741</v>
      </c>
      <c r="C223" s="91" t="s">
        <v>742</v>
      </c>
      <c r="D223" s="88"/>
      <c r="E223" s="2" t="s">
        <v>121</v>
      </c>
      <c r="F223" s="53">
        <v>1</v>
      </c>
      <c r="G223" s="77">
        <v>0</v>
      </c>
      <c r="H223" s="53">
        <f t="shared" si="224"/>
        <v>0</v>
      </c>
      <c r="I223" s="79" t="s">
        <v>1688</v>
      </c>
      <c r="J223" s="49"/>
      <c r="Z223" s="53">
        <f t="shared" si="225"/>
        <v>0</v>
      </c>
      <c r="AB223" s="53">
        <f t="shared" si="226"/>
        <v>0</v>
      </c>
      <c r="AC223" s="53">
        <f t="shared" si="227"/>
        <v>0</v>
      </c>
      <c r="AD223" s="53">
        <f t="shared" si="228"/>
        <v>0</v>
      </c>
      <c r="AE223" s="53">
        <f t="shared" si="229"/>
        <v>0</v>
      </c>
      <c r="AF223" s="53">
        <f t="shared" si="230"/>
        <v>0</v>
      </c>
      <c r="AG223" s="53">
        <f t="shared" si="231"/>
        <v>0</v>
      </c>
      <c r="AH223" s="53">
        <f t="shared" si="232"/>
        <v>0</v>
      </c>
      <c r="AI223" s="36" t="s">
        <v>10</v>
      </c>
      <c r="AJ223" s="53">
        <f t="shared" si="233"/>
        <v>0</v>
      </c>
      <c r="AK223" s="53">
        <f t="shared" si="234"/>
        <v>0</v>
      </c>
      <c r="AL223" s="53">
        <f t="shared" si="235"/>
        <v>0</v>
      </c>
      <c r="AN223" s="53">
        <v>21</v>
      </c>
      <c r="AO223" s="53">
        <f>G223*0.880337773</f>
        <v>0</v>
      </c>
      <c r="AP223" s="53">
        <f>G223*(1-0.880337773)</f>
        <v>0</v>
      </c>
      <c r="AQ223" s="54" t="s">
        <v>134</v>
      </c>
      <c r="AV223" s="53">
        <f t="shared" si="236"/>
        <v>0</v>
      </c>
      <c r="AW223" s="53">
        <f t="shared" si="237"/>
        <v>0</v>
      </c>
      <c r="AX223" s="53">
        <f t="shared" si="238"/>
        <v>0</v>
      </c>
      <c r="AY223" s="54" t="s">
        <v>710</v>
      </c>
      <c r="AZ223" s="54" t="s">
        <v>711</v>
      </c>
      <c r="BA223" s="36" t="s">
        <v>116</v>
      </c>
      <c r="BC223" s="53">
        <f t="shared" si="239"/>
        <v>0</v>
      </c>
      <c r="BD223" s="53">
        <f t="shared" si="240"/>
        <v>0</v>
      </c>
      <c r="BE223" s="53">
        <v>0</v>
      </c>
      <c r="BF223" s="53">
        <f>223</f>
        <v>223</v>
      </c>
      <c r="BH223" s="53">
        <f t="shared" si="241"/>
        <v>0</v>
      </c>
      <c r="BI223" s="53">
        <f t="shared" si="242"/>
        <v>0</v>
      </c>
      <c r="BJ223" s="53">
        <f t="shared" si="243"/>
        <v>0</v>
      </c>
      <c r="BK223" s="54" t="s">
        <v>117</v>
      </c>
      <c r="BL223" s="53">
        <v>766</v>
      </c>
      <c r="BW223" s="53">
        <v>21</v>
      </c>
      <c r="BX223" s="3" t="s">
        <v>742</v>
      </c>
    </row>
    <row r="224" spans="1:76" ht="14.5" x14ac:dyDescent="0.35">
      <c r="A224" s="50" t="s">
        <v>10</v>
      </c>
      <c r="B224" s="51" t="s">
        <v>743</v>
      </c>
      <c r="C224" s="172" t="s">
        <v>744</v>
      </c>
      <c r="D224" s="173"/>
      <c r="E224" s="52" t="s">
        <v>75</v>
      </c>
      <c r="F224" s="52" t="s">
        <v>75</v>
      </c>
      <c r="G224" s="52" t="s">
        <v>75</v>
      </c>
      <c r="H224" s="28">
        <f>SUM(H225:H233)</f>
        <v>0</v>
      </c>
      <c r="I224" s="36" t="s">
        <v>10</v>
      </c>
      <c r="J224" s="49"/>
      <c r="AI224" s="36" t="s">
        <v>10</v>
      </c>
      <c r="AS224" s="28">
        <f>SUM(AJ225:AJ233)</f>
        <v>0</v>
      </c>
      <c r="AT224" s="28">
        <f>SUM(AK225:AK233)</f>
        <v>0</v>
      </c>
      <c r="AU224" s="28">
        <f>SUM(AL225:AL233)</f>
        <v>0</v>
      </c>
    </row>
    <row r="225" spans="1:76" ht="23" x14ac:dyDescent="0.35">
      <c r="A225" s="1" t="s">
        <v>745</v>
      </c>
      <c r="B225" s="2" t="s">
        <v>746</v>
      </c>
      <c r="C225" s="91" t="s">
        <v>747</v>
      </c>
      <c r="D225" s="88"/>
      <c r="E225" s="2" t="s">
        <v>137</v>
      </c>
      <c r="F225" s="53">
        <v>3</v>
      </c>
      <c r="G225" s="77">
        <v>0</v>
      </c>
      <c r="H225" s="53">
        <f t="shared" ref="H225:H233" si="244">ROUND(F225*G225,2)</f>
        <v>0</v>
      </c>
      <c r="I225" s="79" t="s">
        <v>1688</v>
      </c>
      <c r="J225" s="49"/>
      <c r="Z225" s="53">
        <f t="shared" ref="Z225:Z233" si="245">ROUND(IF(AQ225="5",BJ225,0),2)</f>
        <v>0</v>
      </c>
      <c r="AB225" s="53">
        <f t="shared" ref="AB225:AB233" si="246">ROUND(IF(AQ225="1",BH225,0),2)</f>
        <v>0</v>
      </c>
      <c r="AC225" s="53">
        <f t="shared" ref="AC225:AC233" si="247">ROUND(IF(AQ225="1",BI225,0),2)</f>
        <v>0</v>
      </c>
      <c r="AD225" s="53">
        <f t="shared" ref="AD225:AD233" si="248">ROUND(IF(AQ225="7",BH225,0),2)</f>
        <v>0</v>
      </c>
      <c r="AE225" s="53">
        <f t="shared" ref="AE225:AE233" si="249">ROUND(IF(AQ225="7",BI225,0),2)</f>
        <v>0</v>
      </c>
      <c r="AF225" s="53">
        <f t="shared" ref="AF225:AF233" si="250">ROUND(IF(AQ225="2",BH225,0),2)</f>
        <v>0</v>
      </c>
      <c r="AG225" s="53">
        <f t="shared" ref="AG225:AG233" si="251">ROUND(IF(AQ225="2",BI225,0),2)</f>
        <v>0</v>
      </c>
      <c r="AH225" s="53">
        <f t="shared" ref="AH225:AH233" si="252">ROUND(IF(AQ225="0",BJ225,0),2)</f>
        <v>0</v>
      </c>
      <c r="AI225" s="36" t="s">
        <v>10</v>
      </c>
      <c r="AJ225" s="53">
        <f t="shared" ref="AJ225:AJ233" si="253">IF(AN225=0,H225,0)</f>
        <v>0</v>
      </c>
      <c r="AK225" s="53">
        <f t="shared" ref="AK225:AK233" si="254">IF(AN225=12,H225,0)</f>
        <v>0</v>
      </c>
      <c r="AL225" s="53">
        <f t="shared" ref="AL225:AL233" si="255">IF(AN225=21,H225,0)</f>
        <v>0</v>
      </c>
      <c r="AN225" s="53">
        <v>21</v>
      </c>
      <c r="AO225" s="53">
        <f>G225*0</f>
        <v>0</v>
      </c>
      <c r="AP225" s="53">
        <f>G225*(1-0)</f>
        <v>0</v>
      </c>
      <c r="AQ225" s="54" t="s">
        <v>134</v>
      </c>
      <c r="AV225" s="53">
        <f t="shared" ref="AV225:AV233" si="256">ROUND(AW225+AX225,2)</f>
        <v>0</v>
      </c>
      <c r="AW225" s="53">
        <f t="shared" ref="AW225:AW233" si="257">ROUND(F225*AO225,2)</f>
        <v>0</v>
      </c>
      <c r="AX225" s="53">
        <f t="shared" ref="AX225:AX233" si="258">ROUND(F225*AP225,2)</f>
        <v>0</v>
      </c>
      <c r="AY225" s="54" t="s">
        <v>748</v>
      </c>
      <c r="AZ225" s="54" t="s">
        <v>711</v>
      </c>
      <c r="BA225" s="36" t="s">
        <v>116</v>
      </c>
      <c r="BC225" s="53">
        <f t="shared" ref="BC225:BC233" si="259">AW225+AX225</f>
        <v>0</v>
      </c>
      <c r="BD225" s="53">
        <f t="shared" ref="BD225:BD233" si="260">G225/(100-BE225)*100</f>
        <v>0</v>
      </c>
      <c r="BE225" s="53">
        <v>0</v>
      </c>
      <c r="BF225" s="53">
        <f>225</f>
        <v>225</v>
      </c>
      <c r="BH225" s="53">
        <f t="shared" ref="BH225:BH233" si="261">F225*AO225</f>
        <v>0</v>
      </c>
      <c r="BI225" s="53">
        <f t="shared" ref="BI225:BI233" si="262">F225*AP225</f>
        <v>0</v>
      </c>
      <c r="BJ225" s="53">
        <f t="shared" ref="BJ225:BJ233" si="263">F225*G225</f>
        <v>0</v>
      </c>
      <c r="BK225" s="54" t="s">
        <v>117</v>
      </c>
      <c r="BL225" s="53">
        <v>767</v>
      </c>
      <c r="BW225" s="53">
        <v>21</v>
      </c>
      <c r="BX225" s="3" t="s">
        <v>747</v>
      </c>
    </row>
    <row r="226" spans="1:76" ht="23" x14ac:dyDescent="0.35">
      <c r="A226" s="1" t="s">
        <v>749</v>
      </c>
      <c r="B226" s="2" t="s">
        <v>750</v>
      </c>
      <c r="C226" s="91" t="s">
        <v>751</v>
      </c>
      <c r="D226" s="88"/>
      <c r="E226" s="2" t="s">
        <v>113</v>
      </c>
      <c r="F226" s="53">
        <v>1</v>
      </c>
      <c r="G226" s="77">
        <v>0</v>
      </c>
      <c r="H226" s="53">
        <f t="shared" si="244"/>
        <v>0</v>
      </c>
      <c r="I226" s="79" t="s">
        <v>1688</v>
      </c>
      <c r="J226" s="49"/>
      <c r="Z226" s="53">
        <f t="shared" si="245"/>
        <v>0</v>
      </c>
      <c r="AB226" s="53">
        <f t="shared" si="246"/>
        <v>0</v>
      </c>
      <c r="AC226" s="53">
        <f t="shared" si="247"/>
        <v>0</v>
      </c>
      <c r="AD226" s="53">
        <f t="shared" si="248"/>
        <v>0</v>
      </c>
      <c r="AE226" s="53">
        <f t="shared" si="249"/>
        <v>0</v>
      </c>
      <c r="AF226" s="53">
        <f t="shared" si="250"/>
        <v>0</v>
      </c>
      <c r="AG226" s="53">
        <f t="shared" si="251"/>
        <v>0</v>
      </c>
      <c r="AH226" s="53">
        <f t="shared" si="252"/>
        <v>0</v>
      </c>
      <c r="AI226" s="36" t="s">
        <v>10</v>
      </c>
      <c r="AJ226" s="53">
        <f t="shared" si="253"/>
        <v>0</v>
      </c>
      <c r="AK226" s="53">
        <f t="shared" si="254"/>
        <v>0</v>
      </c>
      <c r="AL226" s="53">
        <f t="shared" si="255"/>
        <v>0</v>
      </c>
      <c r="AN226" s="53">
        <v>21</v>
      </c>
      <c r="AO226" s="53">
        <f>G226*0</f>
        <v>0</v>
      </c>
      <c r="AP226" s="53">
        <f>G226*(1-0)</f>
        <v>0</v>
      </c>
      <c r="AQ226" s="54" t="s">
        <v>134</v>
      </c>
      <c r="AV226" s="53">
        <f t="shared" si="256"/>
        <v>0</v>
      </c>
      <c r="AW226" s="53">
        <f t="shared" si="257"/>
        <v>0</v>
      </c>
      <c r="AX226" s="53">
        <f t="shared" si="258"/>
        <v>0</v>
      </c>
      <c r="AY226" s="54" t="s">
        <v>748</v>
      </c>
      <c r="AZ226" s="54" t="s">
        <v>711</v>
      </c>
      <c r="BA226" s="36" t="s">
        <v>116</v>
      </c>
      <c r="BC226" s="53">
        <f t="shared" si="259"/>
        <v>0</v>
      </c>
      <c r="BD226" s="53">
        <f t="shared" si="260"/>
        <v>0</v>
      </c>
      <c r="BE226" s="53">
        <v>0</v>
      </c>
      <c r="BF226" s="53">
        <f>226</f>
        <v>226</v>
      </c>
      <c r="BH226" s="53">
        <f t="shared" si="261"/>
        <v>0</v>
      </c>
      <c r="BI226" s="53">
        <f t="shared" si="262"/>
        <v>0</v>
      </c>
      <c r="BJ226" s="53">
        <f t="shared" si="263"/>
        <v>0</v>
      </c>
      <c r="BK226" s="54" t="s">
        <v>117</v>
      </c>
      <c r="BL226" s="53">
        <v>767</v>
      </c>
      <c r="BW226" s="53">
        <v>21</v>
      </c>
      <c r="BX226" s="3" t="s">
        <v>751</v>
      </c>
    </row>
    <row r="227" spans="1:76" ht="23" x14ac:dyDescent="0.35">
      <c r="A227" s="1" t="s">
        <v>752</v>
      </c>
      <c r="B227" s="2" t="s">
        <v>753</v>
      </c>
      <c r="C227" s="91" t="s">
        <v>754</v>
      </c>
      <c r="D227" s="88"/>
      <c r="E227" s="2" t="s">
        <v>137</v>
      </c>
      <c r="F227" s="53">
        <v>10.55</v>
      </c>
      <c r="G227" s="77">
        <v>0</v>
      </c>
      <c r="H227" s="53">
        <f t="shared" si="244"/>
        <v>0</v>
      </c>
      <c r="I227" s="79" t="s">
        <v>1688</v>
      </c>
      <c r="J227" s="49"/>
      <c r="Z227" s="53">
        <f t="shared" si="245"/>
        <v>0</v>
      </c>
      <c r="AB227" s="53">
        <f t="shared" si="246"/>
        <v>0</v>
      </c>
      <c r="AC227" s="53">
        <f t="shared" si="247"/>
        <v>0</v>
      </c>
      <c r="AD227" s="53">
        <f t="shared" si="248"/>
        <v>0</v>
      </c>
      <c r="AE227" s="53">
        <f t="shared" si="249"/>
        <v>0</v>
      </c>
      <c r="AF227" s="53">
        <f t="shared" si="250"/>
        <v>0</v>
      </c>
      <c r="AG227" s="53">
        <f t="shared" si="251"/>
        <v>0</v>
      </c>
      <c r="AH227" s="53">
        <f t="shared" si="252"/>
        <v>0</v>
      </c>
      <c r="AI227" s="36" t="s">
        <v>10</v>
      </c>
      <c r="AJ227" s="53">
        <f t="shared" si="253"/>
        <v>0</v>
      </c>
      <c r="AK227" s="53">
        <f t="shared" si="254"/>
        <v>0</v>
      </c>
      <c r="AL227" s="53">
        <f t="shared" si="255"/>
        <v>0</v>
      </c>
      <c r="AN227" s="53">
        <v>21</v>
      </c>
      <c r="AO227" s="53">
        <f>G227*0.706275133</f>
        <v>0</v>
      </c>
      <c r="AP227" s="53">
        <f>G227*(1-0.706275133)</f>
        <v>0</v>
      </c>
      <c r="AQ227" s="54" t="s">
        <v>134</v>
      </c>
      <c r="AV227" s="53">
        <f t="shared" si="256"/>
        <v>0</v>
      </c>
      <c r="AW227" s="53">
        <f t="shared" si="257"/>
        <v>0</v>
      </c>
      <c r="AX227" s="53">
        <f t="shared" si="258"/>
        <v>0</v>
      </c>
      <c r="AY227" s="54" t="s">
        <v>748</v>
      </c>
      <c r="AZ227" s="54" t="s">
        <v>711</v>
      </c>
      <c r="BA227" s="36" t="s">
        <v>116</v>
      </c>
      <c r="BC227" s="53">
        <f t="shared" si="259"/>
        <v>0</v>
      </c>
      <c r="BD227" s="53">
        <f t="shared" si="260"/>
        <v>0</v>
      </c>
      <c r="BE227" s="53">
        <v>0</v>
      </c>
      <c r="BF227" s="53">
        <f>227</f>
        <v>227</v>
      </c>
      <c r="BH227" s="53">
        <f t="shared" si="261"/>
        <v>0</v>
      </c>
      <c r="BI227" s="53">
        <f t="shared" si="262"/>
        <v>0</v>
      </c>
      <c r="BJ227" s="53">
        <f t="shared" si="263"/>
        <v>0</v>
      </c>
      <c r="BK227" s="54" t="s">
        <v>117</v>
      </c>
      <c r="BL227" s="53">
        <v>767</v>
      </c>
      <c r="BW227" s="53">
        <v>21</v>
      </c>
      <c r="BX227" s="3" t="s">
        <v>754</v>
      </c>
    </row>
    <row r="228" spans="1:76" ht="23" x14ac:dyDescent="0.35">
      <c r="A228" s="1" t="s">
        <v>755</v>
      </c>
      <c r="B228" s="2" t="s">
        <v>756</v>
      </c>
      <c r="C228" s="91" t="s">
        <v>757</v>
      </c>
      <c r="D228" s="88"/>
      <c r="E228" s="2" t="s">
        <v>424</v>
      </c>
      <c r="F228" s="53">
        <v>1</v>
      </c>
      <c r="G228" s="77">
        <v>0</v>
      </c>
      <c r="H228" s="53">
        <f t="shared" si="244"/>
        <v>0</v>
      </c>
      <c r="I228" s="79" t="s">
        <v>1688</v>
      </c>
      <c r="J228" s="49"/>
      <c r="Z228" s="53">
        <f t="shared" si="245"/>
        <v>0</v>
      </c>
      <c r="AB228" s="53">
        <f t="shared" si="246"/>
        <v>0</v>
      </c>
      <c r="AC228" s="53">
        <f t="shared" si="247"/>
        <v>0</v>
      </c>
      <c r="AD228" s="53">
        <f t="shared" si="248"/>
        <v>0</v>
      </c>
      <c r="AE228" s="53">
        <f t="shared" si="249"/>
        <v>0</v>
      </c>
      <c r="AF228" s="53">
        <f t="shared" si="250"/>
        <v>0</v>
      </c>
      <c r="AG228" s="53">
        <f t="shared" si="251"/>
        <v>0</v>
      </c>
      <c r="AH228" s="53">
        <f t="shared" si="252"/>
        <v>0</v>
      </c>
      <c r="AI228" s="36" t="s">
        <v>10</v>
      </c>
      <c r="AJ228" s="53">
        <f t="shared" si="253"/>
        <v>0</v>
      </c>
      <c r="AK228" s="53">
        <f t="shared" si="254"/>
        <v>0</v>
      </c>
      <c r="AL228" s="53">
        <f t="shared" si="255"/>
        <v>0</v>
      </c>
      <c r="AN228" s="53">
        <v>21</v>
      </c>
      <c r="AO228" s="53">
        <f>G228*0.224850187</f>
        <v>0</v>
      </c>
      <c r="AP228" s="53">
        <f>G228*(1-0.224850187)</f>
        <v>0</v>
      </c>
      <c r="AQ228" s="54" t="s">
        <v>134</v>
      </c>
      <c r="AV228" s="53">
        <f t="shared" si="256"/>
        <v>0</v>
      </c>
      <c r="AW228" s="53">
        <f t="shared" si="257"/>
        <v>0</v>
      </c>
      <c r="AX228" s="53">
        <f t="shared" si="258"/>
        <v>0</v>
      </c>
      <c r="AY228" s="54" t="s">
        <v>748</v>
      </c>
      <c r="AZ228" s="54" t="s">
        <v>711</v>
      </c>
      <c r="BA228" s="36" t="s">
        <v>116</v>
      </c>
      <c r="BC228" s="53">
        <f t="shared" si="259"/>
        <v>0</v>
      </c>
      <c r="BD228" s="53">
        <f t="shared" si="260"/>
        <v>0</v>
      </c>
      <c r="BE228" s="53">
        <v>0</v>
      </c>
      <c r="BF228" s="53">
        <f>228</f>
        <v>228</v>
      </c>
      <c r="BH228" s="53">
        <f t="shared" si="261"/>
        <v>0</v>
      </c>
      <c r="BI228" s="53">
        <f t="shared" si="262"/>
        <v>0</v>
      </c>
      <c r="BJ228" s="53">
        <f t="shared" si="263"/>
        <v>0</v>
      </c>
      <c r="BK228" s="54" t="s">
        <v>117</v>
      </c>
      <c r="BL228" s="53">
        <v>767</v>
      </c>
      <c r="BW228" s="53">
        <v>21</v>
      </c>
      <c r="BX228" s="3" t="s">
        <v>757</v>
      </c>
    </row>
    <row r="229" spans="1:76" ht="23" x14ac:dyDescent="0.35">
      <c r="A229" s="1" t="s">
        <v>758</v>
      </c>
      <c r="B229" s="2" t="s">
        <v>759</v>
      </c>
      <c r="C229" s="156" t="s">
        <v>1692</v>
      </c>
      <c r="D229" s="88"/>
      <c r="E229" s="2" t="s">
        <v>137</v>
      </c>
      <c r="F229" s="53">
        <v>6.6</v>
      </c>
      <c r="G229" s="77">
        <v>0</v>
      </c>
      <c r="H229" s="53">
        <f t="shared" si="244"/>
        <v>0</v>
      </c>
      <c r="I229" s="79" t="s">
        <v>1688</v>
      </c>
      <c r="J229" s="49"/>
      <c r="Z229" s="53">
        <f t="shared" si="245"/>
        <v>0</v>
      </c>
      <c r="AB229" s="53">
        <f t="shared" si="246"/>
        <v>0</v>
      </c>
      <c r="AC229" s="53">
        <f t="shared" si="247"/>
        <v>0</v>
      </c>
      <c r="AD229" s="53">
        <f t="shared" si="248"/>
        <v>0</v>
      </c>
      <c r="AE229" s="53">
        <f t="shared" si="249"/>
        <v>0</v>
      </c>
      <c r="AF229" s="53">
        <f t="shared" si="250"/>
        <v>0</v>
      </c>
      <c r="AG229" s="53">
        <f t="shared" si="251"/>
        <v>0</v>
      </c>
      <c r="AH229" s="53">
        <f t="shared" si="252"/>
        <v>0</v>
      </c>
      <c r="AI229" s="36" t="s">
        <v>10</v>
      </c>
      <c r="AJ229" s="53">
        <f t="shared" si="253"/>
        <v>0</v>
      </c>
      <c r="AK229" s="53">
        <f t="shared" si="254"/>
        <v>0</v>
      </c>
      <c r="AL229" s="53">
        <f t="shared" si="255"/>
        <v>0</v>
      </c>
      <c r="AN229" s="53">
        <v>21</v>
      </c>
      <c r="AO229" s="53">
        <f>G229*0.659471321</f>
        <v>0</v>
      </c>
      <c r="AP229" s="53">
        <f>G229*(1-0.659471321)</f>
        <v>0</v>
      </c>
      <c r="AQ229" s="54" t="s">
        <v>134</v>
      </c>
      <c r="AV229" s="53">
        <f t="shared" si="256"/>
        <v>0</v>
      </c>
      <c r="AW229" s="53">
        <f t="shared" si="257"/>
        <v>0</v>
      </c>
      <c r="AX229" s="53">
        <f t="shared" si="258"/>
        <v>0</v>
      </c>
      <c r="AY229" s="54" t="s">
        <v>748</v>
      </c>
      <c r="AZ229" s="54" t="s">
        <v>711</v>
      </c>
      <c r="BA229" s="36" t="s">
        <v>116</v>
      </c>
      <c r="BC229" s="53">
        <f t="shared" si="259"/>
        <v>0</v>
      </c>
      <c r="BD229" s="53">
        <f t="shared" si="260"/>
        <v>0</v>
      </c>
      <c r="BE229" s="53">
        <v>0</v>
      </c>
      <c r="BF229" s="53">
        <f>229</f>
        <v>229</v>
      </c>
      <c r="BH229" s="53">
        <f t="shared" si="261"/>
        <v>0</v>
      </c>
      <c r="BI229" s="53">
        <f t="shared" si="262"/>
        <v>0</v>
      </c>
      <c r="BJ229" s="53">
        <f t="shared" si="263"/>
        <v>0</v>
      </c>
      <c r="BK229" s="54" t="s">
        <v>117</v>
      </c>
      <c r="BL229" s="53">
        <v>767</v>
      </c>
      <c r="BW229" s="53">
        <v>21</v>
      </c>
      <c r="BX229" s="3" t="s">
        <v>760</v>
      </c>
    </row>
    <row r="230" spans="1:76" ht="23" x14ac:dyDescent="0.35">
      <c r="A230" s="1" t="s">
        <v>761</v>
      </c>
      <c r="B230" s="2" t="s">
        <v>762</v>
      </c>
      <c r="C230" s="91" t="s">
        <v>763</v>
      </c>
      <c r="D230" s="88"/>
      <c r="E230" s="2" t="s">
        <v>434</v>
      </c>
      <c r="F230" s="53">
        <v>4</v>
      </c>
      <c r="G230" s="77">
        <v>0</v>
      </c>
      <c r="H230" s="53">
        <f t="shared" si="244"/>
        <v>0</v>
      </c>
      <c r="I230" s="79" t="s">
        <v>1688</v>
      </c>
      <c r="J230" s="49"/>
      <c r="Z230" s="53">
        <f t="shared" si="245"/>
        <v>0</v>
      </c>
      <c r="AB230" s="53">
        <f t="shared" si="246"/>
        <v>0</v>
      </c>
      <c r="AC230" s="53">
        <f t="shared" si="247"/>
        <v>0</v>
      </c>
      <c r="AD230" s="53">
        <f t="shared" si="248"/>
        <v>0</v>
      </c>
      <c r="AE230" s="53">
        <f t="shared" si="249"/>
        <v>0</v>
      </c>
      <c r="AF230" s="53">
        <f t="shared" si="250"/>
        <v>0</v>
      </c>
      <c r="AG230" s="53">
        <f t="shared" si="251"/>
        <v>0</v>
      </c>
      <c r="AH230" s="53">
        <f t="shared" si="252"/>
        <v>0</v>
      </c>
      <c r="AI230" s="36" t="s">
        <v>10</v>
      </c>
      <c r="AJ230" s="53">
        <f t="shared" si="253"/>
        <v>0</v>
      </c>
      <c r="AK230" s="53">
        <f t="shared" si="254"/>
        <v>0</v>
      </c>
      <c r="AL230" s="53">
        <f t="shared" si="255"/>
        <v>0</v>
      </c>
      <c r="AN230" s="53">
        <v>21</v>
      </c>
      <c r="AO230" s="53">
        <f>G230*0.4125883</f>
        <v>0</v>
      </c>
      <c r="AP230" s="53">
        <f>G230*(1-0.4125883)</f>
        <v>0</v>
      </c>
      <c r="AQ230" s="54" t="s">
        <v>134</v>
      </c>
      <c r="AV230" s="53">
        <f t="shared" si="256"/>
        <v>0</v>
      </c>
      <c r="AW230" s="53">
        <f t="shared" si="257"/>
        <v>0</v>
      </c>
      <c r="AX230" s="53">
        <f t="shared" si="258"/>
        <v>0</v>
      </c>
      <c r="AY230" s="54" t="s">
        <v>748</v>
      </c>
      <c r="AZ230" s="54" t="s">
        <v>711</v>
      </c>
      <c r="BA230" s="36" t="s">
        <v>116</v>
      </c>
      <c r="BC230" s="53">
        <f t="shared" si="259"/>
        <v>0</v>
      </c>
      <c r="BD230" s="53">
        <f t="shared" si="260"/>
        <v>0</v>
      </c>
      <c r="BE230" s="53">
        <v>0</v>
      </c>
      <c r="BF230" s="53">
        <f>230</f>
        <v>230</v>
      </c>
      <c r="BH230" s="53">
        <f t="shared" si="261"/>
        <v>0</v>
      </c>
      <c r="BI230" s="53">
        <f t="shared" si="262"/>
        <v>0</v>
      </c>
      <c r="BJ230" s="53">
        <f t="shared" si="263"/>
        <v>0</v>
      </c>
      <c r="BK230" s="54" t="s">
        <v>117</v>
      </c>
      <c r="BL230" s="53">
        <v>767</v>
      </c>
      <c r="BW230" s="53">
        <v>21</v>
      </c>
      <c r="BX230" s="3" t="s">
        <v>763</v>
      </c>
    </row>
    <row r="231" spans="1:76" ht="23" x14ac:dyDescent="0.35">
      <c r="A231" s="1" t="s">
        <v>764</v>
      </c>
      <c r="B231" s="2" t="s">
        <v>765</v>
      </c>
      <c r="C231" s="91" t="s">
        <v>766</v>
      </c>
      <c r="D231" s="88"/>
      <c r="E231" s="2" t="s">
        <v>121</v>
      </c>
      <c r="F231" s="53">
        <v>4</v>
      </c>
      <c r="G231" s="77">
        <v>0</v>
      </c>
      <c r="H231" s="53">
        <f t="shared" si="244"/>
        <v>0</v>
      </c>
      <c r="I231" s="79" t="s">
        <v>1688</v>
      </c>
      <c r="J231" s="49"/>
      <c r="Z231" s="53">
        <f t="shared" si="245"/>
        <v>0</v>
      </c>
      <c r="AB231" s="53">
        <f t="shared" si="246"/>
        <v>0</v>
      </c>
      <c r="AC231" s="53">
        <f t="shared" si="247"/>
        <v>0</v>
      </c>
      <c r="AD231" s="53">
        <f t="shared" si="248"/>
        <v>0</v>
      </c>
      <c r="AE231" s="53">
        <f t="shared" si="249"/>
        <v>0</v>
      </c>
      <c r="AF231" s="53">
        <f t="shared" si="250"/>
        <v>0</v>
      </c>
      <c r="AG231" s="53">
        <f t="shared" si="251"/>
        <v>0</v>
      </c>
      <c r="AH231" s="53">
        <f t="shared" si="252"/>
        <v>0</v>
      </c>
      <c r="AI231" s="36" t="s">
        <v>10</v>
      </c>
      <c r="AJ231" s="53">
        <f t="shared" si="253"/>
        <v>0</v>
      </c>
      <c r="AK231" s="53">
        <f t="shared" si="254"/>
        <v>0</v>
      </c>
      <c r="AL231" s="53">
        <f t="shared" si="255"/>
        <v>0</v>
      </c>
      <c r="AN231" s="53">
        <v>21</v>
      </c>
      <c r="AO231" s="53">
        <f>G231*0</f>
        <v>0</v>
      </c>
      <c r="AP231" s="53">
        <f>G231*(1-0)</f>
        <v>0</v>
      </c>
      <c r="AQ231" s="54" t="s">
        <v>134</v>
      </c>
      <c r="AV231" s="53">
        <f t="shared" si="256"/>
        <v>0</v>
      </c>
      <c r="AW231" s="53">
        <f t="shared" si="257"/>
        <v>0</v>
      </c>
      <c r="AX231" s="53">
        <f t="shared" si="258"/>
        <v>0</v>
      </c>
      <c r="AY231" s="54" t="s">
        <v>748</v>
      </c>
      <c r="AZ231" s="54" t="s">
        <v>711</v>
      </c>
      <c r="BA231" s="36" t="s">
        <v>116</v>
      </c>
      <c r="BC231" s="53">
        <f t="shared" si="259"/>
        <v>0</v>
      </c>
      <c r="BD231" s="53">
        <f t="shared" si="260"/>
        <v>0</v>
      </c>
      <c r="BE231" s="53">
        <v>0</v>
      </c>
      <c r="BF231" s="53">
        <f>231</f>
        <v>231</v>
      </c>
      <c r="BH231" s="53">
        <f t="shared" si="261"/>
        <v>0</v>
      </c>
      <c r="BI231" s="53">
        <f t="shared" si="262"/>
        <v>0</v>
      </c>
      <c r="BJ231" s="53">
        <f t="shared" si="263"/>
        <v>0</v>
      </c>
      <c r="BK231" s="54" t="s">
        <v>117</v>
      </c>
      <c r="BL231" s="53">
        <v>767</v>
      </c>
      <c r="BW231" s="53">
        <v>21</v>
      </c>
      <c r="BX231" s="3" t="s">
        <v>766</v>
      </c>
    </row>
    <row r="232" spans="1:76" ht="23" x14ac:dyDescent="0.35">
      <c r="A232" s="1" t="s">
        <v>767</v>
      </c>
      <c r="B232" s="2" t="s">
        <v>768</v>
      </c>
      <c r="C232" s="91" t="s">
        <v>769</v>
      </c>
      <c r="D232" s="88"/>
      <c r="E232" s="2" t="s">
        <v>121</v>
      </c>
      <c r="F232" s="53">
        <v>1</v>
      </c>
      <c r="G232" s="77">
        <v>0</v>
      </c>
      <c r="H232" s="53">
        <f t="shared" si="244"/>
        <v>0</v>
      </c>
      <c r="I232" s="79" t="s">
        <v>1688</v>
      </c>
      <c r="J232" s="49"/>
      <c r="Z232" s="53">
        <f t="shared" si="245"/>
        <v>0</v>
      </c>
      <c r="AB232" s="53">
        <f t="shared" si="246"/>
        <v>0</v>
      </c>
      <c r="AC232" s="53">
        <f t="shared" si="247"/>
        <v>0</v>
      </c>
      <c r="AD232" s="53">
        <f t="shared" si="248"/>
        <v>0</v>
      </c>
      <c r="AE232" s="53">
        <f t="shared" si="249"/>
        <v>0</v>
      </c>
      <c r="AF232" s="53">
        <f t="shared" si="250"/>
        <v>0</v>
      </c>
      <c r="AG232" s="53">
        <f t="shared" si="251"/>
        <v>0</v>
      </c>
      <c r="AH232" s="53">
        <f t="shared" si="252"/>
        <v>0</v>
      </c>
      <c r="AI232" s="36" t="s">
        <v>10</v>
      </c>
      <c r="AJ232" s="53">
        <f t="shared" si="253"/>
        <v>0</v>
      </c>
      <c r="AK232" s="53">
        <f t="shared" si="254"/>
        <v>0</v>
      </c>
      <c r="AL232" s="53">
        <f t="shared" si="255"/>
        <v>0</v>
      </c>
      <c r="AN232" s="53">
        <v>21</v>
      </c>
      <c r="AO232" s="53">
        <f>G232*0</f>
        <v>0</v>
      </c>
      <c r="AP232" s="53">
        <f>G232*(1-0)</f>
        <v>0</v>
      </c>
      <c r="AQ232" s="54" t="s">
        <v>134</v>
      </c>
      <c r="AV232" s="53">
        <f t="shared" si="256"/>
        <v>0</v>
      </c>
      <c r="AW232" s="53">
        <f t="shared" si="257"/>
        <v>0</v>
      </c>
      <c r="AX232" s="53">
        <f t="shared" si="258"/>
        <v>0</v>
      </c>
      <c r="AY232" s="54" t="s">
        <v>748</v>
      </c>
      <c r="AZ232" s="54" t="s">
        <v>711</v>
      </c>
      <c r="BA232" s="36" t="s">
        <v>116</v>
      </c>
      <c r="BC232" s="53">
        <f t="shared" si="259"/>
        <v>0</v>
      </c>
      <c r="BD232" s="53">
        <f t="shared" si="260"/>
        <v>0</v>
      </c>
      <c r="BE232" s="53">
        <v>0</v>
      </c>
      <c r="BF232" s="53">
        <f>232</f>
        <v>232</v>
      </c>
      <c r="BH232" s="53">
        <f t="shared" si="261"/>
        <v>0</v>
      </c>
      <c r="BI232" s="53">
        <f t="shared" si="262"/>
        <v>0</v>
      </c>
      <c r="BJ232" s="53">
        <f t="shared" si="263"/>
        <v>0</v>
      </c>
      <c r="BK232" s="54" t="s">
        <v>117</v>
      </c>
      <c r="BL232" s="53">
        <v>767</v>
      </c>
      <c r="BW232" s="53">
        <v>21</v>
      </c>
      <c r="BX232" s="3" t="s">
        <v>769</v>
      </c>
    </row>
    <row r="233" spans="1:76" ht="23" x14ac:dyDescent="0.35">
      <c r="A233" s="1" t="s">
        <v>770</v>
      </c>
      <c r="B233" s="2" t="s">
        <v>771</v>
      </c>
      <c r="C233" s="91" t="s">
        <v>772</v>
      </c>
      <c r="D233" s="88"/>
      <c r="E233" s="2" t="s">
        <v>113</v>
      </c>
      <c r="F233" s="53">
        <v>5.4</v>
      </c>
      <c r="G233" s="77">
        <v>0</v>
      </c>
      <c r="H233" s="53">
        <f t="shared" si="244"/>
        <v>0</v>
      </c>
      <c r="I233" s="79" t="s">
        <v>1688</v>
      </c>
      <c r="J233" s="49"/>
      <c r="Z233" s="53">
        <f t="shared" si="245"/>
        <v>0</v>
      </c>
      <c r="AB233" s="53">
        <f t="shared" si="246"/>
        <v>0</v>
      </c>
      <c r="AC233" s="53">
        <f t="shared" si="247"/>
        <v>0</v>
      </c>
      <c r="AD233" s="53">
        <f t="shared" si="248"/>
        <v>0</v>
      </c>
      <c r="AE233" s="53">
        <f t="shared" si="249"/>
        <v>0</v>
      </c>
      <c r="AF233" s="53">
        <f t="shared" si="250"/>
        <v>0</v>
      </c>
      <c r="AG233" s="53">
        <f t="shared" si="251"/>
        <v>0</v>
      </c>
      <c r="AH233" s="53">
        <f t="shared" si="252"/>
        <v>0</v>
      </c>
      <c r="AI233" s="36" t="s">
        <v>10</v>
      </c>
      <c r="AJ233" s="53">
        <f t="shared" si="253"/>
        <v>0</v>
      </c>
      <c r="AK233" s="53">
        <f t="shared" si="254"/>
        <v>0</v>
      </c>
      <c r="AL233" s="53">
        <f t="shared" si="255"/>
        <v>0</v>
      </c>
      <c r="AN233" s="53">
        <v>21</v>
      </c>
      <c r="AO233" s="53">
        <f>G233*0.398438522</f>
        <v>0</v>
      </c>
      <c r="AP233" s="53">
        <f>G233*(1-0.398438522)</f>
        <v>0</v>
      </c>
      <c r="AQ233" s="54" t="s">
        <v>134</v>
      </c>
      <c r="AV233" s="53">
        <f t="shared" si="256"/>
        <v>0</v>
      </c>
      <c r="AW233" s="53">
        <f t="shared" si="257"/>
        <v>0</v>
      </c>
      <c r="AX233" s="53">
        <f t="shared" si="258"/>
        <v>0</v>
      </c>
      <c r="AY233" s="54" t="s">
        <v>748</v>
      </c>
      <c r="AZ233" s="54" t="s">
        <v>711</v>
      </c>
      <c r="BA233" s="36" t="s">
        <v>116</v>
      </c>
      <c r="BC233" s="53">
        <f t="shared" si="259"/>
        <v>0</v>
      </c>
      <c r="BD233" s="53">
        <f t="shared" si="260"/>
        <v>0</v>
      </c>
      <c r="BE233" s="53">
        <v>0</v>
      </c>
      <c r="BF233" s="53">
        <f>233</f>
        <v>233</v>
      </c>
      <c r="BH233" s="53">
        <f t="shared" si="261"/>
        <v>0</v>
      </c>
      <c r="BI233" s="53">
        <f t="shared" si="262"/>
        <v>0</v>
      </c>
      <c r="BJ233" s="53">
        <f t="shared" si="263"/>
        <v>0</v>
      </c>
      <c r="BK233" s="54" t="s">
        <v>117</v>
      </c>
      <c r="BL233" s="53">
        <v>767</v>
      </c>
      <c r="BW233" s="53">
        <v>21</v>
      </c>
      <c r="BX233" s="3" t="s">
        <v>772</v>
      </c>
    </row>
    <row r="234" spans="1:76" ht="14.5" x14ac:dyDescent="0.35">
      <c r="A234" s="50" t="s">
        <v>10</v>
      </c>
      <c r="B234" s="51" t="s">
        <v>773</v>
      </c>
      <c r="C234" s="172" t="s">
        <v>774</v>
      </c>
      <c r="D234" s="173"/>
      <c r="E234" s="52" t="s">
        <v>75</v>
      </c>
      <c r="F234" s="52" t="s">
        <v>75</v>
      </c>
      <c r="G234" s="52" t="s">
        <v>75</v>
      </c>
      <c r="H234" s="28">
        <f>SUM(H235:H246)</f>
        <v>0</v>
      </c>
      <c r="I234" s="36" t="s">
        <v>10</v>
      </c>
      <c r="J234" s="49"/>
      <c r="AI234" s="36" t="s">
        <v>10</v>
      </c>
      <c r="AS234" s="28">
        <f>SUM(AJ235:AJ246)</f>
        <v>0</v>
      </c>
      <c r="AT234" s="28">
        <f>SUM(AK235:AK246)</f>
        <v>0</v>
      </c>
      <c r="AU234" s="28">
        <f>SUM(AL235:AL246)</f>
        <v>0</v>
      </c>
    </row>
    <row r="235" spans="1:76" ht="23" x14ac:dyDescent="0.35">
      <c r="A235" s="1" t="s">
        <v>775</v>
      </c>
      <c r="B235" s="2" t="s">
        <v>776</v>
      </c>
      <c r="C235" s="91" t="s">
        <v>777</v>
      </c>
      <c r="D235" s="88"/>
      <c r="E235" s="2" t="s">
        <v>113</v>
      </c>
      <c r="F235" s="53">
        <v>324.16000000000003</v>
      </c>
      <c r="G235" s="77">
        <v>0</v>
      </c>
      <c r="H235" s="53">
        <f t="shared" ref="H235:H246" si="264">ROUND(F235*G235,2)</f>
        <v>0</v>
      </c>
      <c r="I235" s="79" t="s">
        <v>1688</v>
      </c>
      <c r="J235" s="49"/>
      <c r="Z235" s="53">
        <f t="shared" ref="Z235:Z246" si="265">ROUND(IF(AQ235="5",BJ235,0),2)</f>
        <v>0</v>
      </c>
      <c r="AB235" s="53">
        <f t="shared" ref="AB235:AB246" si="266">ROUND(IF(AQ235="1",BH235,0),2)</f>
        <v>0</v>
      </c>
      <c r="AC235" s="53">
        <f t="shared" ref="AC235:AC246" si="267">ROUND(IF(AQ235="1",BI235,0),2)</f>
        <v>0</v>
      </c>
      <c r="AD235" s="53">
        <f t="shared" ref="AD235:AD246" si="268">ROUND(IF(AQ235="7",BH235,0),2)</f>
        <v>0</v>
      </c>
      <c r="AE235" s="53">
        <f t="shared" ref="AE235:AE246" si="269">ROUND(IF(AQ235="7",BI235,0),2)</f>
        <v>0</v>
      </c>
      <c r="AF235" s="53">
        <f t="shared" ref="AF235:AF246" si="270">ROUND(IF(AQ235="2",BH235,0),2)</f>
        <v>0</v>
      </c>
      <c r="AG235" s="53">
        <f t="shared" ref="AG235:AG246" si="271">ROUND(IF(AQ235="2",BI235,0),2)</f>
        <v>0</v>
      </c>
      <c r="AH235" s="53">
        <f t="shared" ref="AH235:AH246" si="272">ROUND(IF(AQ235="0",BJ235,0),2)</f>
        <v>0</v>
      </c>
      <c r="AI235" s="36" t="s">
        <v>10</v>
      </c>
      <c r="AJ235" s="53">
        <f t="shared" ref="AJ235:AJ246" si="273">IF(AN235=0,H235,0)</f>
        <v>0</v>
      </c>
      <c r="AK235" s="53">
        <f t="shared" ref="AK235:AK246" si="274">IF(AN235=12,H235,0)</f>
        <v>0</v>
      </c>
      <c r="AL235" s="53">
        <f t="shared" ref="AL235:AL246" si="275">IF(AN235=21,H235,0)</f>
        <v>0</v>
      </c>
      <c r="AN235" s="53">
        <v>21</v>
      </c>
      <c r="AO235" s="53">
        <f>G235*0</f>
        <v>0</v>
      </c>
      <c r="AP235" s="53">
        <f>G235*(1-0)</f>
        <v>0</v>
      </c>
      <c r="AQ235" s="54" t="s">
        <v>134</v>
      </c>
      <c r="AV235" s="53">
        <f t="shared" ref="AV235:AV246" si="276">ROUND(AW235+AX235,2)</f>
        <v>0</v>
      </c>
      <c r="AW235" s="53">
        <f t="shared" ref="AW235:AW246" si="277">ROUND(F235*AO235,2)</f>
        <v>0</v>
      </c>
      <c r="AX235" s="53">
        <f t="shared" ref="AX235:AX246" si="278">ROUND(F235*AP235,2)</f>
        <v>0</v>
      </c>
      <c r="AY235" s="54" t="s">
        <v>778</v>
      </c>
      <c r="AZ235" s="54" t="s">
        <v>779</v>
      </c>
      <c r="BA235" s="36" t="s">
        <v>116</v>
      </c>
      <c r="BC235" s="53">
        <f t="shared" ref="BC235:BC246" si="279">AW235+AX235</f>
        <v>0</v>
      </c>
      <c r="BD235" s="53">
        <f t="shared" ref="BD235:BD246" si="280">G235/(100-BE235)*100</f>
        <v>0</v>
      </c>
      <c r="BE235" s="53">
        <v>0</v>
      </c>
      <c r="BF235" s="53">
        <f>235</f>
        <v>235</v>
      </c>
      <c r="BH235" s="53">
        <f t="shared" ref="BH235:BH246" si="281">F235*AO235</f>
        <v>0</v>
      </c>
      <c r="BI235" s="53">
        <f t="shared" ref="BI235:BI246" si="282">F235*AP235</f>
        <v>0</v>
      </c>
      <c r="BJ235" s="53">
        <f t="shared" ref="BJ235:BJ246" si="283">F235*G235</f>
        <v>0</v>
      </c>
      <c r="BK235" s="54" t="s">
        <v>117</v>
      </c>
      <c r="BL235" s="53">
        <v>771</v>
      </c>
      <c r="BW235" s="53">
        <v>21</v>
      </c>
      <c r="BX235" s="3" t="s">
        <v>777</v>
      </c>
    </row>
    <row r="236" spans="1:76" ht="23" x14ac:dyDescent="0.35">
      <c r="A236" s="1" t="s">
        <v>780</v>
      </c>
      <c r="B236" s="2" t="s">
        <v>781</v>
      </c>
      <c r="C236" s="91" t="s">
        <v>782</v>
      </c>
      <c r="D236" s="88"/>
      <c r="E236" s="2" t="s">
        <v>113</v>
      </c>
      <c r="F236" s="53">
        <v>324</v>
      </c>
      <c r="G236" s="77">
        <v>0</v>
      </c>
      <c r="H236" s="53">
        <f t="shared" si="264"/>
        <v>0</v>
      </c>
      <c r="I236" s="79" t="s">
        <v>1688</v>
      </c>
      <c r="J236" s="49"/>
      <c r="Z236" s="53">
        <f t="shared" si="265"/>
        <v>0</v>
      </c>
      <c r="AB236" s="53">
        <f t="shared" si="266"/>
        <v>0</v>
      </c>
      <c r="AC236" s="53">
        <f t="shared" si="267"/>
        <v>0</v>
      </c>
      <c r="AD236" s="53">
        <f t="shared" si="268"/>
        <v>0</v>
      </c>
      <c r="AE236" s="53">
        <f t="shared" si="269"/>
        <v>0</v>
      </c>
      <c r="AF236" s="53">
        <f t="shared" si="270"/>
        <v>0</v>
      </c>
      <c r="AG236" s="53">
        <f t="shared" si="271"/>
        <v>0</v>
      </c>
      <c r="AH236" s="53">
        <f t="shared" si="272"/>
        <v>0</v>
      </c>
      <c r="AI236" s="36" t="s">
        <v>10</v>
      </c>
      <c r="AJ236" s="53">
        <f t="shared" si="273"/>
        <v>0</v>
      </c>
      <c r="AK236" s="53">
        <f t="shared" si="274"/>
        <v>0</v>
      </c>
      <c r="AL236" s="53">
        <f t="shared" si="275"/>
        <v>0</v>
      </c>
      <c r="AN236" s="53">
        <v>21</v>
      </c>
      <c r="AO236" s="53">
        <f>G236*0.272017787</f>
        <v>0</v>
      </c>
      <c r="AP236" s="53">
        <f>G236*(1-0.272017787)</f>
        <v>0</v>
      </c>
      <c r="AQ236" s="54" t="s">
        <v>134</v>
      </c>
      <c r="AV236" s="53">
        <f t="shared" si="276"/>
        <v>0</v>
      </c>
      <c r="AW236" s="53">
        <f t="shared" si="277"/>
        <v>0</v>
      </c>
      <c r="AX236" s="53">
        <f t="shared" si="278"/>
        <v>0</v>
      </c>
      <c r="AY236" s="54" t="s">
        <v>778</v>
      </c>
      <c r="AZ236" s="54" t="s">
        <v>779</v>
      </c>
      <c r="BA236" s="36" t="s">
        <v>116</v>
      </c>
      <c r="BC236" s="53">
        <f t="shared" si="279"/>
        <v>0</v>
      </c>
      <c r="BD236" s="53">
        <f t="shared" si="280"/>
        <v>0</v>
      </c>
      <c r="BE236" s="53">
        <v>0</v>
      </c>
      <c r="BF236" s="53">
        <f>236</f>
        <v>236</v>
      </c>
      <c r="BH236" s="53">
        <f t="shared" si="281"/>
        <v>0</v>
      </c>
      <c r="BI236" s="53">
        <f t="shared" si="282"/>
        <v>0</v>
      </c>
      <c r="BJ236" s="53">
        <f t="shared" si="283"/>
        <v>0</v>
      </c>
      <c r="BK236" s="54" t="s">
        <v>117</v>
      </c>
      <c r="BL236" s="53">
        <v>771</v>
      </c>
      <c r="BW236" s="53">
        <v>21</v>
      </c>
      <c r="BX236" s="3" t="s">
        <v>782</v>
      </c>
    </row>
    <row r="237" spans="1:76" ht="23" x14ac:dyDescent="0.35">
      <c r="A237" s="1" t="s">
        <v>783</v>
      </c>
      <c r="B237" s="2" t="s">
        <v>784</v>
      </c>
      <c r="C237" s="91" t="s">
        <v>785</v>
      </c>
      <c r="D237" s="88"/>
      <c r="E237" s="2" t="s">
        <v>113</v>
      </c>
      <c r="F237" s="53">
        <v>339</v>
      </c>
      <c r="G237" s="77">
        <v>0</v>
      </c>
      <c r="H237" s="53">
        <f t="shared" si="264"/>
        <v>0</v>
      </c>
      <c r="I237" s="79" t="s">
        <v>1688</v>
      </c>
      <c r="J237" s="49"/>
      <c r="Z237" s="53">
        <f t="shared" si="265"/>
        <v>0</v>
      </c>
      <c r="AB237" s="53">
        <f t="shared" si="266"/>
        <v>0</v>
      </c>
      <c r="AC237" s="53">
        <f t="shared" si="267"/>
        <v>0</v>
      </c>
      <c r="AD237" s="53">
        <f t="shared" si="268"/>
        <v>0</v>
      </c>
      <c r="AE237" s="53">
        <f t="shared" si="269"/>
        <v>0</v>
      </c>
      <c r="AF237" s="53">
        <f t="shared" si="270"/>
        <v>0</v>
      </c>
      <c r="AG237" s="53">
        <f t="shared" si="271"/>
        <v>0</v>
      </c>
      <c r="AH237" s="53">
        <f t="shared" si="272"/>
        <v>0</v>
      </c>
      <c r="AI237" s="36" t="s">
        <v>10</v>
      </c>
      <c r="AJ237" s="53">
        <f t="shared" si="273"/>
        <v>0</v>
      </c>
      <c r="AK237" s="53">
        <f t="shared" si="274"/>
        <v>0</v>
      </c>
      <c r="AL237" s="53">
        <f t="shared" si="275"/>
        <v>0</v>
      </c>
      <c r="AN237" s="53">
        <v>21</v>
      </c>
      <c r="AO237" s="53">
        <f>G237*0.745832504</f>
        <v>0</v>
      </c>
      <c r="AP237" s="53">
        <f>G237*(1-0.745832504)</f>
        <v>0</v>
      </c>
      <c r="AQ237" s="54" t="s">
        <v>134</v>
      </c>
      <c r="AV237" s="53">
        <f t="shared" si="276"/>
        <v>0</v>
      </c>
      <c r="AW237" s="53">
        <f t="shared" si="277"/>
        <v>0</v>
      </c>
      <c r="AX237" s="53">
        <f t="shared" si="278"/>
        <v>0</v>
      </c>
      <c r="AY237" s="54" t="s">
        <v>778</v>
      </c>
      <c r="AZ237" s="54" t="s">
        <v>779</v>
      </c>
      <c r="BA237" s="36" t="s">
        <v>116</v>
      </c>
      <c r="BC237" s="53">
        <f t="shared" si="279"/>
        <v>0</v>
      </c>
      <c r="BD237" s="53">
        <f t="shared" si="280"/>
        <v>0</v>
      </c>
      <c r="BE237" s="53">
        <v>0</v>
      </c>
      <c r="BF237" s="53">
        <f>237</f>
        <v>237</v>
      </c>
      <c r="BH237" s="53">
        <f t="shared" si="281"/>
        <v>0</v>
      </c>
      <c r="BI237" s="53">
        <f t="shared" si="282"/>
        <v>0</v>
      </c>
      <c r="BJ237" s="53">
        <f t="shared" si="283"/>
        <v>0</v>
      </c>
      <c r="BK237" s="54" t="s">
        <v>117</v>
      </c>
      <c r="BL237" s="53">
        <v>771</v>
      </c>
      <c r="BW237" s="53">
        <v>21</v>
      </c>
      <c r="BX237" s="3" t="s">
        <v>785</v>
      </c>
    </row>
    <row r="238" spans="1:76" ht="23" x14ac:dyDescent="0.35">
      <c r="A238" s="1" t="s">
        <v>786</v>
      </c>
      <c r="B238" s="2" t="s">
        <v>787</v>
      </c>
      <c r="C238" s="91" t="s">
        <v>788</v>
      </c>
      <c r="D238" s="88"/>
      <c r="E238" s="2" t="s">
        <v>113</v>
      </c>
      <c r="F238" s="53">
        <v>324</v>
      </c>
      <c r="G238" s="77">
        <v>0</v>
      </c>
      <c r="H238" s="53">
        <f t="shared" si="264"/>
        <v>0</v>
      </c>
      <c r="I238" s="79" t="s">
        <v>1688</v>
      </c>
      <c r="J238" s="49"/>
      <c r="Z238" s="53">
        <f t="shared" si="265"/>
        <v>0</v>
      </c>
      <c r="AB238" s="53">
        <f t="shared" si="266"/>
        <v>0</v>
      </c>
      <c r="AC238" s="53">
        <f t="shared" si="267"/>
        <v>0</v>
      </c>
      <c r="AD238" s="53">
        <f t="shared" si="268"/>
        <v>0</v>
      </c>
      <c r="AE238" s="53">
        <f t="shared" si="269"/>
        <v>0</v>
      </c>
      <c r="AF238" s="53">
        <f t="shared" si="270"/>
        <v>0</v>
      </c>
      <c r="AG238" s="53">
        <f t="shared" si="271"/>
        <v>0</v>
      </c>
      <c r="AH238" s="53">
        <f t="shared" si="272"/>
        <v>0</v>
      </c>
      <c r="AI238" s="36" t="s">
        <v>10</v>
      </c>
      <c r="AJ238" s="53">
        <f t="shared" si="273"/>
        <v>0</v>
      </c>
      <c r="AK238" s="53">
        <f t="shared" si="274"/>
        <v>0</v>
      </c>
      <c r="AL238" s="53">
        <f t="shared" si="275"/>
        <v>0</v>
      </c>
      <c r="AN238" s="53">
        <v>21</v>
      </c>
      <c r="AO238" s="53">
        <f>G238*0.506720295</f>
        <v>0</v>
      </c>
      <c r="AP238" s="53">
        <f>G238*(1-0.506720295)</f>
        <v>0</v>
      </c>
      <c r="AQ238" s="54" t="s">
        <v>134</v>
      </c>
      <c r="AV238" s="53">
        <f t="shared" si="276"/>
        <v>0</v>
      </c>
      <c r="AW238" s="53">
        <f t="shared" si="277"/>
        <v>0</v>
      </c>
      <c r="AX238" s="53">
        <f t="shared" si="278"/>
        <v>0</v>
      </c>
      <c r="AY238" s="54" t="s">
        <v>778</v>
      </c>
      <c r="AZ238" s="54" t="s">
        <v>779</v>
      </c>
      <c r="BA238" s="36" t="s">
        <v>116</v>
      </c>
      <c r="BC238" s="53">
        <f t="shared" si="279"/>
        <v>0</v>
      </c>
      <c r="BD238" s="53">
        <f t="shared" si="280"/>
        <v>0</v>
      </c>
      <c r="BE238" s="53">
        <v>0</v>
      </c>
      <c r="BF238" s="53">
        <f>238</f>
        <v>238</v>
      </c>
      <c r="BH238" s="53">
        <f t="shared" si="281"/>
        <v>0</v>
      </c>
      <c r="BI238" s="53">
        <f t="shared" si="282"/>
        <v>0</v>
      </c>
      <c r="BJ238" s="53">
        <f t="shared" si="283"/>
        <v>0</v>
      </c>
      <c r="BK238" s="54" t="s">
        <v>117</v>
      </c>
      <c r="BL238" s="53">
        <v>771</v>
      </c>
      <c r="BW238" s="53">
        <v>21</v>
      </c>
      <c r="BX238" s="3" t="s">
        <v>788</v>
      </c>
    </row>
    <row r="239" spans="1:76" ht="23" x14ac:dyDescent="0.35">
      <c r="A239" s="1" t="s">
        <v>789</v>
      </c>
      <c r="B239" s="2" t="s">
        <v>790</v>
      </c>
      <c r="C239" s="91" t="s">
        <v>791</v>
      </c>
      <c r="D239" s="88"/>
      <c r="E239" s="2" t="s">
        <v>137</v>
      </c>
      <c r="F239" s="53">
        <v>240</v>
      </c>
      <c r="G239" s="77">
        <v>0</v>
      </c>
      <c r="H239" s="53">
        <f t="shared" si="264"/>
        <v>0</v>
      </c>
      <c r="I239" s="79" t="s">
        <v>1688</v>
      </c>
      <c r="J239" s="49"/>
      <c r="Z239" s="53">
        <f t="shared" si="265"/>
        <v>0</v>
      </c>
      <c r="AB239" s="53">
        <f t="shared" si="266"/>
        <v>0</v>
      </c>
      <c r="AC239" s="53">
        <f t="shared" si="267"/>
        <v>0</v>
      </c>
      <c r="AD239" s="53">
        <f t="shared" si="268"/>
        <v>0</v>
      </c>
      <c r="AE239" s="53">
        <f t="shared" si="269"/>
        <v>0</v>
      </c>
      <c r="AF239" s="53">
        <f t="shared" si="270"/>
        <v>0</v>
      </c>
      <c r="AG239" s="53">
        <f t="shared" si="271"/>
        <v>0</v>
      </c>
      <c r="AH239" s="53">
        <f t="shared" si="272"/>
        <v>0</v>
      </c>
      <c r="AI239" s="36" t="s">
        <v>10</v>
      </c>
      <c r="AJ239" s="53">
        <f t="shared" si="273"/>
        <v>0</v>
      </c>
      <c r="AK239" s="53">
        <f t="shared" si="274"/>
        <v>0</v>
      </c>
      <c r="AL239" s="53">
        <f t="shared" si="275"/>
        <v>0</v>
      </c>
      <c r="AN239" s="53">
        <v>21</v>
      </c>
      <c r="AO239" s="53">
        <f>G239*0.45052096</f>
        <v>0</v>
      </c>
      <c r="AP239" s="53">
        <f>G239*(1-0.45052096)</f>
        <v>0</v>
      </c>
      <c r="AQ239" s="54" t="s">
        <v>134</v>
      </c>
      <c r="AV239" s="53">
        <f t="shared" si="276"/>
        <v>0</v>
      </c>
      <c r="AW239" s="53">
        <f t="shared" si="277"/>
        <v>0</v>
      </c>
      <c r="AX239" s="53">
        <f t="shared" si="278"/>
        <v>0</v>
      </c>
      <c r="AY239" s="54" t="s">
        <v>778</v>
      </c>
      <c r="AZ239" s="54" t="s">
        <v>779</v>
      </c>
      <c r="BA239" s="36" t="s">
        <v>116</v>
      </c>
      <c r="BC239" s="53">
        <f t="shared" si="279"/>
        <v>0</v>
      </c>
      <c r="BD239" s="53">
        <f t="shared" si="280"/>
        <v>0</v>
      </c>
      <c r="BE239" s="53">
        <v>0</v>
      </c>
      <c r="BF239" s="53">
        <f>239</f>
        <v>239</v>
      </c>
      <c r="BH239" s="53">
        <f t="shared" si="281"/>
        <v>0</v>
      </c>
      <c r="BI239" s="53">
        <f t="shared" si="282"/>
        <v>0</v>
      </c>
      <c r="BJ239" s="53">
        <f t="shared" si="283"/>
        <v>0</v>
      </c>
      <c r="BK239" s="54" t="s">
        <v>117</v>
      </c>
      <c r="BL239" s="53">
        <v>771</v>
      </c>
      <c r="BW239" s="53">
        <v>21</v>
      </c>
      <c r="BX239" s="3" t="s">
        <v>791</v>
      </c>
    </row>
    <row r="240" spans="1:76" ht="23" x14ac:dyDescent="0.35">
      <c r="A240" s="1" t="s">
        <v>792</v>
      </c>
      <c r="B240" s="2" t="s">
        <v>793</v>
      </c>
      <c r="C240" s="91" t="s">
        <v>794</v>
      </c>
      <c r="D240" s="88"/>
      <c r="E240" s="2" t="s">
        <v>137</v>
      </c>
      <c r="F240" s="53">
        <v>3.6</v>
      </c>
      <c r="G240" s="77">
        <v>0</v>
      </c>
      <c r="H240" s="53">
        <f t="shared" si="264"/>
        <v>0</v>
      </c>
      <c r="I240" s="79" t="s">
        <v>1688</v>
      </c>
      <c r="J240" s="49"/>
      <c r="Z240" s="53">
        <f t="shared" si="265"/>
        <v>0</v>
      </c>
      <c r="AB240" s="53">
        <f t="shared" si="266"/>
        <v>0</v>
      </c>
      <c r="AC240" s="53">
        <f t="shared" si="267"/>
        <v>0</v>
      </c>
      <c r="AD240" s="53">
        <f t="shared" si="268"/>
        <v>0</v>
      </c>
      <c r="AE240" s="53">
        <f t="shared" si="269"/>
        <v>0</v>
      </c>
      <c r="AF240" s="53">
        <f t="shared" si="270"/>
        <v>0</v>
      </c>
      <c r="AG240" s="53">
        <f t="shared" si="271"/>
        <v>0</v>
      </c>
      <c r="AH240" s="53">
        <f t="shared" si="272"/>
        <v>0</v>
      </c>
      <c r="AI240" s="36" t="s">
        <v>10</v>
      </c>
      <c r="AJ240" s="53">
        <f t="shared" si="273"/>
        <v>0</v>
      </c>
      <c r="AK240" s="53">
        <f t="shared" si="274"/>
        <v>0</v>
      </c>
      <c r="AL240" s="53">
        <f t="shared" si="275"/>
        <v>0</v>
      </c>
      <c r="AN240" s="53">
        <v>21</v>
      </c>
      <c r="AO240" s="53">
        <f>G240*0.646736754</f>
        <v>0</v>
      </c>
      <c r="AP240" s="53">
        <f>G240*(1-0.646736754)</f>
        <v>0</v>
      </c>
      <c r="AQ240" s="54" t="s">
        <v>134</v>
      </c>
      <c r="AV240" s="53">
        <f t="shared" si="276"/>
        <v>0</v>
      </c>
      <c r="AW240" s="53">
        <f t="shared" si="277"/>
        <v>0</v>
      </c>
      <c r="AX240" s="53">
        <f t="shared" si="278"/>
        <v>0</v>
      </c>
      <c r="AY240" s="54" t="s">
        <v>778</v>
      </c>
      <c r="AZ240" s="54" t="s">
        <v>779</v>
      </c>
      <c r="BA240" s="36" t="s">
        <v>116</v>
      </c>
      <c r="BC240" s="53">
        <f t="shared" si="279"/>
        <v>0</v>
      </c>
      <c r="BD240" s="53">
        <f t="shared" si="280"/>
        <v>0</v>
      </c>
      <c r="BE240" s="53">
        <v>0</v>
      </c>
      <c r="BF240" s="53">
        <f>240</f>
        <v>240</v>
      </c>
      <c r="BH240" s="53">
        <f t="shared" si="281"/>
        <v>0</v>
      </c>
      <c r="BI240" s="53">
        <f t="shared" si="282"/>
        <v>0</v>
      </c>
      <c r="BJ240" s="53">
        <f t="shared" si="283"/>
        <v>0</v>
      </c>
      <c r="BK240" s="54" t="s">
        <v>117</v>
      </c>
      <c r="BL240" s="53">
        <v>771</v>
      </c>
      <c r="BW240" s="53">
        <v>21</v>
      </c>
      <c r="BX240" s="3" t="s">
        <v>794</v>
      </c>
    </row>
    <row r="241" spans="1:76" ht="23" x14ac:dyDescent="0.35">
      <c r="A241" s="1" t="s">
        <v>795</v>
      </c>
      <c r="B241" s="2" t="s">
        <v>796</v>
      </c>
      <c r="C241" s="91" t="s">
        <v>797</v>
      </c>
      <c r="D241" s="88"/>
      <c r="E241" s="2" t="s">
        <v>113</v>
      </c>
      <c r="F241" s="53">
        <v>324.2</v>
      </c>
      <c r="G241" s="77">
        <v>0</v>
      </c>
      <c r="H241" s="53">
        <f t="shared" si="264"/>
        <v>0</v>
      </c>
      <c r="I241" s="79" t="s">
        <v>1688</v>
      </c>
      <c r="J241" s="49"/>
      <c r="Z241" s="53">
        <f t="shared" si="265"/>
        <v>0</v>
      </c>
      <c r="AB241" s="53">
        <f t="shared" si="266"/>
        <v>0</v>
      </c>
      <c r="AC241" s="53">
        <f t="shared" si="267"/>
        <v>0</v>
      </c>
      <c r="AD241" s="53">
        <f t="shared" si="268"/>
        <v>0</v>
      </c>
      <c r="AE241" s="53">
        <f t="shared" si="269"/>
        <v>0</v>
      </c>
      <c r="AF241" s="53">
        <f t="shared" si="270"/>
        <v>0</v>
      </c>
      <c r="AG241" s="53">
        <f t="shared" si="271"/>
        <v>0</v>
      </c>
      <c r="AH241" s="53">
        <f t="shared" si="272"/>
        <v>0</v>
      </c>
      <c r="AI241" s="36" t="s">
        <v>10</v>
      </c>
      <c r="AJ241" s="53">
        <f t="shared" si="273"/>
        <v>0</v>
      </c>
      <c r="AK241" s="53">
        <f t="shared" si="274"/>
        <v>0</v>
      </c>
      <c r="AL241" s="53">
        <f t="shared" si="275"/>
        <v>0</v>
      </c>
      <c r="AN241" s="53">
        <v>21</v>
      </c>
      <c r="AO241" s="53">
        <f>G241*0.128108883</f>
        <v>0</v>
      </c>
      <c r="AP241" s="53">
        <f>G241*(1-0.128108883)</f>
        <v>0</v>
      </c>
      <c r="AQ241" s="54" t="s">
        <v>134</v>
      </c>
      <c r="AV241" s="53">
        <f t="shared" si="276"/>
        <v>0</v>
      </c>
      <c r="AW241" s="53">
        <f t="shared" si="277"/>
        <v>0</v>
      </c>
      <c r="AX241" s="53">
        <f t="shared" si="278"/>
        <v>0</v>
      </c>
      <c r="AY241" s="54" t="s">
        <v>778</v>
      </c>
      <c r="AZ241" s="54" t="s">
        <v>779</v>
      </c>
      <c r="BA241" s="36" t="s">
        <v>116</v>
      </c>
      <c r="BC241" s="53">
        <f t="shared" si="279"/>
        <v>0</v>
      </c>
      <c r="BD241" s="53">
        <f t="shared" si="280"/>
        <v>0</v>
      </c>
      <c r="BE241" s="53">
        <v>0</v>
      </c>
      <c r="BF241" s="53">
        <f>241</f>
        <v>241</v>
      </c>
      <c r="BH241" s="53">
        <f t="shared" si="281"/>
        <v>0</v>
      </c>
      <c r="BI241" s="53">
        <f t="shared" si="282"/>
        <v>0</v>
      </c>
      <c r="BJ241" s="53">
        <f t="shared" si="283"/>
        <v>0</v>
      </c>
      <c r="BK241" s="54" t="s">
        <v>117</v>
      </c>
      <c r="BL241" s="53">
        <v>771</v>
      </c>
      <c r="BW241" s="53">
        <v>21</v>
      </c>
      <c r="BX241" s="3" t="s">
        <v>797</v>
      </c>
    </row>
    <row r="242" spans="1:76" ht="23" x14ac:dyDescent="0.35">
      <c r="A242" s="1" t="s">
        <v>798</v>
      </c>
      <c r="B242" s="2" t="s">
        <v>799</v>
      </c>
      <c r="C242" s="91" t="s">
        <v>800</v>
      </c>
      <c r="D242" s="88"/>
      <c r="E242" s="2" t="s">
        <v>137</v>
      </c>
      <c r="F242" s="53">
        <v>240</v>
      </c>
      <c r="G242" s="77">
        <v>0</v>
      </c>
      <c r="H242" s="53">
        <f t="shared" si="264"/>
        <v>0</v>
      </c>
      <c r="I242" s="79" t="s">
        <v>1688</v>
      </c>
      <c r="J242" s="49"/>
      <c r="Z242" s="53">
        <f t="shared" si="265"/>
        <v>0</v>
      </c>
      <c r="AB242" s="53">
        <f t="shared" si="266"/>
        <v>0</v>
      </c>
      <c r="AC242" s="53">
        <f t="shared" si="267"/>
        <v>0</v>
      </c>
      <c r="AD242" s="53">
        <f t="shared" si="268"/>
        <v>0</v>
      </c>
      <c r="AE242" s="53">
        <f t="shared" si="269"/>
        <v>0</v>
      </c>
      <c r="AF242" s="53">
        <f t="shared" si="270"/>
        <v>0</v>
      </c>
      <c r="AG242" s="53">
        <f t="shared" si="271"/>
        <v>0</v>
      </c>
      <c r="AH242" s="53">
        <f t="shared" si="272"/>
        <v>0</v>
      </c>
      <c r="AI242" s="36" t="s">
        <v>10</v>
      </c>
      <c r="AJ242" s="53">
        <f t="shared" si="273"/>
        <v>0</v>
      </c>
      <c r="AK242" s="53">
        <f t="shared" si="274"/>
        <v>0</v>
      </c>
      <c r="AL242" s="53">
        <f t="shared" si="275"/>
        <v>0</v>
      </c>
      <c r="AN242" s="53">
        <v>21</v>
      </c>
      <c r="AO242" s="53">
        <f>G242*0.306401393</f>
        <v>0</v>
      </c>
      <c r="AP242" s="53">
        <f>G242*(1-0.306401393)</f>
        <v>0</v>
      </c>
      <c r="AQ242" s="54" t="s">
        <v>134</v>
      </c>
      <c r="AV242" s="53">
        <f t="shared" si="276"/>
        <v>0</v>
      </c>
      <c r="AW242" s="53">
        <f t="shared" si="277"/>
        <v>0</v>
      </c>
      <c r="AX242" s="53">
        <f t="shared" si="278"/>
        <v>0</v>
      </c>
      <c r="AY242" s="54" t="s">
        <v>778</v>
      </c>
      <c r="AZ242" s="54" t="s">
        <v>779</v>
      </c>
      <c r="BA242" s="36" t="s">
        <v>116</v>
      </c>
      <c r="BC242" s="53">
        <f t="shared" si="279"/>
        <v>0</v>
      </c>
      <c r="BD242" s="53">
        <f t="shared" si="280"/>
        <v>0</v>
      </c>
      <c r="BE242" s="53">
        <v>0</v>
      </c>
      <c r="BF242" s="53">
        <f>242</f>
        <v>242</v>
      </c>
      <c r="BH242" s="53">
        <f t="shared" si="281"/>
        <v>0</v>
      </c>
      <c r="BI242" s="53">
        <f t="shared" si="282"/>
        <v>0</v>
      </c>
      <c r="BJ242" s="53">
        <f t="shared" si="283"/>
        <v>0</v>
      </c>
      <c r="BK242" s="54" t="s">
        <v>117</v>
      </c>
      <c r="BL242" s="53">
        <v>771</v>
      </c>
      <c r="BW242" s="53">
        <v>21</v>
      </c>
      <c r="BX242" s="3" t="s">
        <v>800</v>
      </c>
    </row>
    <row r="243" spans="1:76" ht="23" x14ac:dyDescent="0.35">
      <c r="A243" s="1" t="s">
        <v>801</v>
      </c>
      <c r="B243" s="2" t="s">
        <v>802</v>
      </c>
      <c r="C243" s="91" t="s">
        <v>803</v>
      </c>
      <c r="D243" s="88"/>
      <c r="E243" s="2" t="s">
        <v>113</v>
      </c>
      <c r="F243" s="53">
        <v>324.2</v>
      </c>
      <c r="G243" s="77">
        <v>0</v>
      </c>
      <c r="H243" s="53">
        <f t="shared" si="264"/>
        <v>0</v>
      </c>
      <c r="I243" s="79" t="s">
        <v>1688</v>
      </c>
      <c r="J243" s="49"/>
      <c r="Z243" s="53">
        <f t="shared" si="265"/>
        <v>0</v>
      </c>
      <c r="AB243" s="53">
        <f t="shared" si="266"/>
        <v>0</v>
      </c>
      <c r="AC243" s="53">
        <f t="shared" si="267"/>
        <v>0</v>
      </c>
      <c r="AD243" s="53">
        <f t="shared" si="268"/>
        <v>0</v>
      </c>
      <c r="AE243" s="53">
        <f t="shared" si="269"/>
        <v>0</v>
      </c>
      <c r="AF243" s="53">
        <f t="shared" si="270"/>
        <v>0</v>
      </c>
      <c r="AG243" s="53">
        <f t="shared" si="271"/>
        <v>0</v>
      </c>
      <c r="AH243" s="53">
        <f t="shared" si="272"/>
        <v>0</v>
      </c>
      <c r="AI243" s="36" t="s">
        <v>10</v>
      </c>
      <c r="AJ243" s="53">
        <f t="shared" si="273"/>
        <v>0</v>
      </c>
      <c r="AK243" s="53">
        <f t="shared" si="274"/>
        <v>0</v>
      </c>
      <c r="AL243" s="53">
        <f t="shared" si="275"/>
        <v>0</v>
      </c>
      <c r="AN243" s="53">
        <v>21</v>
      </c>
      <c r="AO243" s="53">
        <f>G243*0.999779504</f>
        <v>0</v>
      </c>
      <c r="AP243" s="53">
        <f>G243*(1-0.999779504)</f>
        <v>0</v>
      </c>
      <c r="AQ243" s="54" t="s">
        <v>134</v>
      </c>
      <c r="AV243" s="53">
        <f t="shared" si="276"/>
        <v>0</v>
      </c>
      <c r="AW243" s="53">
        <f t="shared" si="277"/>
        <v>0</v>
      </c>
      <c r="AX243" s="53">
        <f t="shared" si="278"/>
        <v>0</v>
      </c>
      <c r="AY243" s="54" t="s">
        <v>778</v>
      </c>
      <c r="AZ243" s="54" t="s">
        <v>779</v>
      </c>
      <c r="BA243" s="36" t="s">
        <v>116</v>
      </c>
      <c r="BC243" s="53">
        <f t="shared" si="279"/>
        <v>0</v>
      </c>
      <c r="BD243" s="53">
        <f t="shared" si="280"/>
        <v>0</v>
      </c>
      <c r="BE243" s="53">
        <v>0</v>
      </c>
      <c r="BF243" s="53">
        <f>243</f>
        <v>243</v>
      </c>
      <c r="BH243" s="53">
        <f t="shared" si="281"/>
        <v>0</v>
      </c>
      <c r="BI243" s="53">
        <f t="shared" si="282"/>
        <v>0</v>
      </c>
      <c r="BJ243" s="53">
        <f t="shared" si="283"/>
        <v>0</v>
      </c>
      <c r="BK243" s="54" t="s">
        <v>117</v>
      </c>
      <c r="BL243" s="53">
        <v>771</v>
      </c>
      <c r="BW243" s="53">
        <v>21</v>
      </c>
      <c r="BX243" s="3" t="s">
        <v>803</v>
      </c>
    </row>
    <row r="244" spans="1:76" ht="23" x14ac:dyDescent="0.35">
      <c r="A244" s="1" t="s">
        <v>804</v>
      </c>
      <c r="B244" s="2" t="s">
        <v>805</v>
      </c>
      <c r="C244" s="91" t="s">
        <v>806</v>
      </c>
      <c r="D244" s="88"/>
      <c r="E244" s="2" t="s">
        <v>113</v>
      </c>
      <c r="F244" s="53">
        <v>384.34</v>
      </c>
      <c r="G244" s="77">
        <v>0</v>
      </c>
      <c r="H244" s="53">
        <f t="shared" si="264"/>
        <v>0</v>
      </c>
      <c r="I244" s="79" t="s">
        <v>1688</v>
      </c>
      <c r="J244" s="49"/>
      <c r="Z244" s="53">
        <f t="shared" si="265"/>
        <v>0</v>
      </c>
      <c r="AB244" s="53">
        <f t="shared" si="266"/>
        <v>0</v>
      </c>
      <c r="AC244" s="53">
        <f t="shared" si="267"/>
        <v>0</v>
      </c>
      <c r="AD244" s="53">
        <f t="shared" si="268"/>
        <v>0</v>
      </c>
      <c r="AE244" s="53">
        <f t="shared" si="269"/>
        <v>0</v>
      </c>
      <c r="AF244" s="53">
        <f t="shared" si="270"/>
        <v>0</v>
      </c>
      <c r="AG244" s="53">
        <f t="shared" si="271"/>
        <v>0</v>
      </c>
      <c r="AH244" s="53">
        <f t="shared" si="272"/>
        <v>0</v>
      </c>
      <c r="AI244" s="36" t="s">
        <v>10</v>
      </c>
      <c r="AJ244" s="53">
        <f t="shared" si="273"/>
        <v>0</v>
      </c>
      <c r="AK244" s="53">
        <f t="shared" si="274"/>
        <v>0</v>
      </c>
      <c r="AL244" s="53">
        <f t="shared" si="275"/>
        <v>0</v>
      </c>
      <c r="AN244" s="53">
        <v>21</v>
      </c>
      <c r="AO244" s="53">
        <f>G244*1</f>
        <v>0</v>
      </c>
      <c r="AP244" s="53">
        <f>G244*(1-1)</f>
        <v>0</v>
      </c>
      <c r="AQ244" s="54" t="s">
        <v>134</v>
      </c>
      <c r="AV244" s="53">
        <f t="shared" si="276"/>
        <v>0</v>
      </c>
      <c r="AW244" s="53">
        <f t="shared" si="277"/>
        <v>0</v>
      </c>
      <c r="AX244" s="53">
        <f t="shared" si="278"/>
        <v>0</v>
      </c>
      <c r="AY244" s="54" t="s">
        <v>778</v>
      </c>
      <c r="AZ244" s="54" t="s">
        <v>779</v>
      </c>
      <c r="BA244" s="36" t="s">
        <v>116</v>
      </c>
      <c r="BC244" s="53">
        <f t="shared" si="279"/>
        <v>0</v>
      </c>
      <c r="BD244" s="53">
        <f t="shared" si="280"/>
        <v>0</v>
      </c>
      <c r="BE244" s="53">
        <v>0</v>
      </c>
      <c r="BF244" s="53">
        <f>244</f>
        <v>244</v>
      </c>
      <c r="BH244" s="53">
        <f t="shared" si="281"/>
        <v>0</v>
      </c>
      <c r="BI244" s="53">
        <f t="shared" si="282"/>
        <v>0</v>
      </c>
      <c r="BJ244" s="53">
        <f t="shared" si="283"/>
        <v>0</v>
      </c>
      <c r="BK244" s="54" t="s">
        <v>733</v>
      </c>
      <c r="BL244" s="53">
        <v>771</v>
      </c>
      <c r="BW244" s="53">
        <v>21</v>
      </c>
      <c r="BX244" s="3" t="s">
        <v>806</v>
      </c>
    </row>
    <row r="245" spans="1:76" ht="23" x14ac:dyDescent="0.35">
      <c r="A245" s="1" t="s">
        <v>807</v>
      </c>
      <c r="B245" s="2" t="s">
        <v>808</v>
      </c>
      <c r="C245" s="91" t="s">
        <v>809</v>
      </c>
      <c r="D245" s="88"/>
      <c r="E245" s="2" t="s">
        <v>137</v>
      </c>
      <c r="F245" s="53">
        <v>254</v>
      </c>
      <c r="G245" s="77">
        <v>0</v>
      </c>
      <c r="H245" s="53">
        <f t="shared" si="264"/>
        <v>0</v>
      </c>
      <c r="I245" s="79" t="s">
        <v>1688</v>
      </c>
      <c r="J245" s="49"/>
      <c r="Z245" s="53">
        <f t="shared" si="265"/>
        <v>0</v>
      </c>
      <c r="AB245" s="53">
        <f t="shared" si="266"/>
        <v>0</v>
      </c>
      <c r="AC245" s="53">
        <f t="shared" si="267"/>
        <v>0</v>
      </c>
      <c r="AD245" s="53">
        <f t="shared" si="268"/>
        <v>0</v>
      </c>
      <c r="AE245" s="53">
        <f t="shared" si="269"/>
        <v>0</v>
      </c>
      <c r="AF245" s="53">
        <f t="shared" si="270"/>
        <v>0</v>
      </c>
      <c r="AG245" s="53">
        <f t="shared" si="271"/>
        <v>0</v>
      </c>
      <c r="AH245" s="53">
        <f t="shared" si="272"/>
        <v>0</v>
      </c>
      <c r="AI245" s="36" t="s">
        <v>10</v>
      </c>
      <c r="AJ245" s="53">
        <f t="shared" si="273"/>
        <v>0</v>
      </c>
      <c r="AK245" s="53">
        <f t="shared" si="274"/>
        <v>0</v>
      </c>
      <c r="AL245" s="53">
        <f t="shared" si="275"/>
        <v>0</v>
      </c>
      <c r="AN245" s="53">
        <v>21</v>
      </c>
      <c r="AO245" s="53">
        <f>G245*0.084832683</f>
        <v>0</v>
      </c>
      <c r="AP245" s="53">
        <f>G245*(1-0.084832683)</f>
        <v>0</v>
      </c>
      <c r="AQ245" s="54" t="s">
        <v>134</v>
      </c>
      <c r="AV245" s="53">
        <f t="shared" si="276"/>
        <v>0</v>
      </c>
      <c r="AW245" s="53">
        <f t="shared" si="277"/>
        <v>0</v>
      </c>
      <c r="AX245" s="53">
        <f t="shared" si="278"/>
        <v>0</v>
      </c>
      <c r="AY245" s="54" t="s">
        <v>778</v>
      </c>
      <c r="AZ245" s="54" t="s">
        <v>779</v>
      </c>
      <c r="BA245" s="36" t="s">
        <v>116</v>
      </c>
      <c r="BC245" s="53">
        <f t="shared" si="279"/>
        <v>0</v>
      </c>
      <c r="BD245" s="53">
        <f t="shared" si="280"/>
        <v>0</v>
      </c>
      <c r="BE245" s="53">
        <v>0</v>
      </c>
      <c r="BF245" s="53">
        <f>245</f>
        <v>245</v>
      </c>
      <c r="BH245" s="53">
        <f t="shared" si="281"/>
        <v>0</v>
      </c>
      <c r="BI245" s="53">
        <f t="shared" si="282"/>
        <v>0</v>
      </c>
      <c r="BJ245" s="53">
        <f t="shared" si="283"/>
        <v>0</v>
      </c>
      <c r="BK245" s="54" t="s">
        <v>117</v>
      </c>
      <c r="BL245" s="53">
        <v>771</v>
      </c>
      <c r="BW245" s="53">
        <v>21</v>
      </c>
      <c r="BX245" s="3" t="s">
        <v>809</v>
      </c>
    </row>
    <row r="246" spans="1:76" ht="23" x14ac:dyDescent="0.35">
      <c r="A246" s="1" t="s">
        <v>810</v>
      </c>
      <c r="B246" s="2" t="s">
        <v>811</v>
      </c>
      <c r="C246" s="91" t="s">
        <v>812</v>
      </c>
      <c r="D246" s="88"/>
      <c r="E246" s="2" t="s">
        <v>137</v>
      </c>
      <c r="F246" s="53">
        <v>16</v>
      </c>
      <c r="G246" s="77">
        <v>0</v>
      </c>
      <c r="H246" s="53">
        <f t="shared" si="264"/>
        <v>0</v>
      </c>
      <c r="I246" s="79" t="s">
        <v>1688</v>
      </c>
      <c r="J246" s="49"/>
      <c r="Z246" s="53">
        <f t="shared" si="265"/>
        <v>0</v>
      </c>
      <c r="AB246" s="53">
        <f t="shared" si="266"/>
        <v>0</v>
      </c>
      <c r="AC246" s="53">
        <f t="shared" si="267"/>
        <v>0</v>
      </c>
      <c r="AD246" s="53">
        <f t="shared" si="268"/>
        <v>0</v>
      </c>
      <c r="AE246" s="53">
        <f t="shared" si="269"/>
        <v>0</v>
      </c>
      <c r="AF246" s="53">
        <f t="shared" si="270"/>
        <v>0</v>
      </c>
      <c r="AG246" s="53">
        <f t="shared" si="271"/>
        <v>0</v>
      </c>
      <c r="AH246" s="53">
        <f t="shared" si="272"/>
        <v>0</v>
      </c>
      <c r="AI246" s="36" t="s">
        <v>10</v>
      </c>
      <c r="AJ246" s="53">
        <f t="shared" si="273"/>
        <v>0</v>
      </c>
      <c r="AK246" s="53">
        <f t="shared" si="274"/>
        <v>0</v>
      </c>
      <c r="AL246" s="53">
        <f t="shared" si="275"/>
        <v>0</v>
      </c>
      <c r="AN246" s="53">
        <v>21</v>
      </c>
      <c r="AO246" s="53">
        <f>G246*0.647090096</f>
        <v>0</v>
      </c>
      <c r="AP246" s="53">
        <f>G246*(1-0.647090096)</f>
        <v>0</v>
      </c>
      <c r="AQ246" s="54" t="s">
        <v>134</v>
      </c>
      <c r="AV246" s="53">
        <f t="shared" si="276"/>
        <v>0</v>
      </c>
      <c r="AW246" s="53">
        <f t="shared" si="277"/>
        <v>0</v>
      </c>
      <c r="AX246" s="53">
        <f t="shared" si="278"/>
        <v>0</v>
      </c>
      <c r="AY246" s="54" t="s">
        <v>778</v>
      </c>
      <c r="AZ246" s="54" t="s">
        <v>779</v>
      </c>
      <c r="BA246" s="36" t="s">
        <v>116</v>
      </c>
      <c r="BC246" s="53">
        <f t="shared" si="279"/>
        <v>0</v>
      </c>
      <c r="BD246" s="53">
        <f t="shared" si="280"/>
        <v>0</v>
      </c>
      <c r="BE246" s="53">
        <v>0</v>
      </c>
      <c r="BF246" s="53">
        <f>246</f>
        <v>246</v>
      </c>
      <c r="BH246" s="53">
        <f t="shared" si="281"/>
        <v>0</v>
      </c>
      <c r="BI246" s="53">
        <f t="shared" si="282"/>
        <v>0</v>
      </c>
      <c r="BJ246" s="53">
        <f t="shared" si="283"/>
        <v>0</v>
      </c>
      <c r="BK246" s="54" t="s">
        <v>117</v>
      </c>
      <c r="BL246" s="53">
        <v>771</v>
      </c>
      <c r="BW246" s="53">
        <v>21</v>
      </c>
      <c r="BX246" s="3" t="s">
        <v>812</v>
      </c>
    </row>
    <row r="247" spans="1:76" ht="14.5" x14ac:dyDescent="0.35">
      <c r="A247" s="50" t="s">
        <v>10</v>
      </c>
      <c r="B247" s="51" t="s">
        <v>813</v>
      </c>
      <c r="C247" s="172" t="s">
        <v>814</v>
      </c>
      <c r="D247" s="173"/>
      <c r="E247" s="52" t="s">
        <v>75</v>
      </c>
      <c r="F247" s="52" t="s">
        <v>75</v>
      </c>
      <c r="G247" s="52" t="s">
        <v>75</v>
      </c>
      <c r="H247" s="28">
        <f>SUM(H248:H261)</f>
        <v>0</v>
      </c>
      <c r="I247" s="36" t="s">
        <v>10</v>
      </c>
      <c r="J247" s="49"/>
      <c r="AI247" s="36" t="s">
        <v>10</v>
      </c>
      <c r="AS247" s="28">
        <f>SUM(AJ248:AJ261)</f>
        <v>0</v>
      </c>
      <c r="AT247" s="28">
        <f>SUM(AK248:AK261)</f>
        <v>0</v>
      </c>
      <c r="AU247" s="28">
        <f>SUM(AL248:AL261)</f>
        <v>0</v>
      </c>
    </row>
    <row r="248" spans="1:76" ht="23" x14ac:dyDescent="0.35">
      <c r="A248" s="1" t="s">
        <v>815</v>
      </c>
      <c r="B248" s="2" t="s">
        <v>816</v>
      </c>
      <c r="C248" s="91" t="s">
        <v>817</v>
      </c>
      <c r="D248" s="88"/>
      <c r="E248" s="2" t="s">
        <v>113</v>
      </c>
      <c r="F248" s="53">
        <v>276.5</v>
      </c>
      <c r="G248" s="77">
        <v>0</v>
      </c>
      <c r="H248" s="53">
        <f t="shared" ref="H248:H261" si="284">ROUND(F248*G248,2)</f>
        <v>0</v>
      </c>
      <c r="I248" s="79" t="s">
        <v>1688</v>
      </c>
      <c r="J248" s="49"/>
      <c r="Z248" s="53">
        <f t="shared" ref="Z248:Z261" si="285">ROUND(IF(AQ248="5",BJ248,0),2)</f>
        <v>0</v>
      </c>
      <c r="AB248" s="53">
        <f t="shared" ref="AB248:AB261" si="286">ROUND(IF(AQ248="1",BH248,0),2)</f>
        <v>0</v>
      </c>
      <c r="AC248" s="53">
        <f t="shared" ref="AC248:AC261" si="287">ROUND(IF(AQ248="1",BI248,0),2)</f>
        <v>0</v>
      </c>
      <c r="AD248" s="53">
        <f t="shared" ref="AD248:AD261" si="288">ROUND(IF(AQ248="7",BH248,0),2)</f>
        <v>0</v>
      </c>
      <c r="AE248" s="53">
        <f t="shared" ref="AE248:AE261" si="289">ROUND(IF(AQ248="7",BI248,0),2)</f>
        <v>0</v>
      </c>
      <c r="AF248" s="53">
        <f t="shared" ref="AF248:AF261" si="290">ROUND(IF(AQ248="2",BH248,0),2)</f>
        <v>0</v>
      </c>
      <c r="AG248" s="53">
        <f t="shared" ref="AG248:AG261" si="291">ROUND(IF(AQ248="2",BI248,0),2)</f>
        <v>0</v>
      </c>
      <c r="AH248" s="53">
        <f t="shared" ref="AH248:AH261" si="292">ROUND(IF(AQ248="0",BJ248,0),2)</f>
        <v>0</v>
      </c>
      <c r="AI248" s="36" t="s">
        <v>10</v>
      </c>
      <c r="AJ248" s="53">
        <f t="shared" ref="AJ248:AJ261" si="293">IF(AN248=0,H248,0)</f>
        <v>0</v>
      </c>
      <c r="AK248" s="53">
        <f t="shared" ref="AK248:AK261" si="294">IF(AN248=12,H248,0)</f>
        <v>0</v>
      </c>
      <c r="AL248" s="53">
        <f t="shared" ref="AL248:AL261" si="295">IF(AN248=21,H248,0)</f>
        <v>0</v>
      </c>
      <c r="AN248" s="53">
        <v>21</v>
      </c>
      <c r="AO248" s="53">
        <f>G248*0</f>
        <v>0</v>
      </c>
      <c r="AP248" s="53">
        <f>G248*(1-0)</f>
        <v>0</v>
      </c>
      <c r="AQ248" s="54" t="s">
        <v>134</v>
      </c>
      <c r="AV248" s="53">
        <f t="shared" ref="AV248:AV261" si="296">ROUND(AW248+AX248,2)</f>
        <v>0</v>
      </c>
      <c r="AW248" s="53">
        <f t="shared" ref="AW248:AW261" si="297">ROUND(F248*AO248,2)</f>
        <v>0</v>
      </c>
      <c r="AX248" s="53">
        <f t="shared" ref="AX248:AX261" si="298">ROUND(F248*AP248,2)</f>
        <v>0</v>
      </c>
      <c r="AY248" s="54" t="s">
        <v>818</v>
      </c>
      <c r="AZ248" s="54" t="s">
        <v>779</v>
      </c>
      <c r="BA248" s="36" t="s">
        <v>116</v>
      </c>
      <c r="BC248" s="53">
        <f t="shared" ref="BC248:BC261" si="299">AW248+AX248</f>
        <v>0</v>
      </c>
      <c r="BD248" s="53">
        <f t="shared" ref="BD248:BD261" si="300">G248/(100-BE248)*100</f>
        <v>0</v>
      </c>
      <c r="BE248" s="53">
        <v>0</v>
      </c>
      <c r="BF248" s="53">
        <f>248</f>
        <v>248</v>
      </c>
      <c r="BH248" s="53">
        <f t="shared" ref="BH248:BH261" si="301">F248*AO248</f>
        <v>0</v>
      </c>
      <c r="BI248" s="53">
        <f t="shared" ref="BI248:BI261" si="302">F248*AP248</f>
        <v>0</v>
      </c>
      <c r="BJ248" s="53">
        <f t="shared" ref="BJ248:BJ261" si="303">F248*G248</f>
        <v>0</v>
      </c>
      <c r="BK248" s="54" t="s">
        <v>117</v>
      </c>
      <c r="BL248" s="53">
        <v>776</v>
      </c>
      <c r="BW248" s="53">
        <v>21</v>
      </c>
      <c r="BX248" s="3" t="s">
        <v>817</v>
      </c>
    </row>
    <row r="249" spans="1:76" ht="23" x14ac:dyDescent="0.35">
      <c r="A249" s="1" t="s">
        <v>819</v>
      </c>
      <c r="B249" s="2" t="s">
        <v>820</v>
      </c>
      <c r="C249" s="91" t="s">
        <v>821</v>
      </c>
      <c r="D249" s="88"/>
      <c r="E249" s="2" t="s">
        <v>113</v>
      </c>
      <c r="F249" s="53">
        <v>415.5</v>
      </c>
      <c r="G249" s="77">
        <v>0</v>
      </c>
      <c r="H249" s="53">
        <f t="shared" si="284"/>
        <v>0</v>
      </c>
      <c r="I249" s="79" t="s">
        <v>1688</v>
      </c>
      <c r="J249" s="49"/>
      <c r="Z249" s="53">
        <f t="shared" si="285"/>
        <v>0</v>
      </c>
      <c r="AB249" s="53">
        <f t="shared" si="286"/>
        <v>0</v>
      </c>
      <c r="AC249" s="53">
        <f t="shared" si="287"/>
        <v>0</v>
      </c>
      <c r="AD249" s="53">
        <f t="shared" si="288"/>
        <v>0</v>
      </c>
      <c r="AE249" s="53">
        <f t="shared" si="289"/>
        <v>0</v>
      </c>
      <c r="AF249" s="53">
        <f t="shared" si="290"/>
        <v>0</v>
      </c>
      <c r="AG249" s="53">
        <f t="shared" si="291"/>
        <v>0</v>
      </c>
      <c r="AH249" s="53">
        <f t="shared" si="292"/>
        <v>0</v>
      </c>
      <c r="AI249" s="36" t="s">
        <v>10</v>
      </c>
      <c r="AJ249" s="53">
        <f t="shared" si="293"/>
        <v>0</v>
      </c>
      <c r="AK249" s="53">
        <f t="shared" si="294"/>
        <v>0</v>
      </c>
      <c r="AL249" s="53">
        <f t="shared" si="295"/>
        <v>0</v>
      </c>
      <c r="AN249" s="53">
        <v>21</v>
      </c>
      <c r="AO249" s="53">
        <f>G249*0</f>
        <v>0</v>
      </c>
      <c r="AP249" s="53">
        <f>G249*(1-0)</f>
        <v>0</v>
      </c>
      <c r="AQ249" s="54" t="s">
        <v>134</v>
      </c>
      <c r="AV249" s="53">
        <f t="shared" si="296"/>
        <v>0</v>
      </c>
      <c r="AW249" s="53">
        <f t="shared" si="297"/>
        <v>0</v>
      </c>
      <c r="AX249" s="53">
        <f t="shared" si="298"/>
        <v>0</v>
      </c>
      <c r="AY249" s="54" t="s">
        <v>818</v>
      </c>
      <c r="AZ249" s="54" t="s">
        <v>779</v>
      </c>
      <c r="BA249" s="36" t="s">
        <v>116</v>
      </c>
      <c r="BC249" s="53">
        <f t="shared" si="299"/>
        <v>0</v>
      </c>
      <c r="BD249" s="53">
        <f t="shared" si="300"/>
        <v>0</v>
      </c>
      <c r="BE249" s="53">
        <v>0</v>
      </c>
      <c r="BF249" s="53">
        <f>249</f>
        <v>249</v>
      </c>
      <c r="BH249" s="53">
        <f t="shared" si="301"/>
        <v>0</v>
      </c>
      <c r="BI249" s="53">
        <f t="shared" si="302"/>
        <v>0</v>
      </c>
      <c r="BJ249" s="53">
        <f t="shared" si="303"/>
        <v>0</v>
      </c>
      <c r="BK249" s="54" t="s">
        <v>117</v>
      </c>
      <c r="BL249" s="53">
        <v>776</v>
      </c>
      <c r="BW249" s="53">
        <v>21</v>
      </c>
      <c r="BX249" s="3" t="s">
        <v>821</v>
      </c>
    </row>
    <row r="250" spans="1:76" ht="23" x14ac:dyDescent="0.35">
      <c r="A250" s="1" t="s">
        <v>822</v>
      </c>
      <c r="B250" s="2" t="s">
        <v>823</v>
      </c>
      <c r="C250" s="91" t="s">
        <v>824</v>
      </c>
      <c r="D250" s="88"/>
      <c r="E250" s="2" t="s">
        <v>113</v>
      </c>
      <c r="F250" s="53">
        <v>415.5</v>
      </c>
      <c r="G250" s="77">
        <v>0</v>
      </c>
      <c r="H250" s="53">
        <f t="shared" si="284"/>
        <v>0</v>
      </c>
      <c r="I250" s="79" t="s">
        <v>1688</v>
      </c>
      <c r="J250" s="49"/>
      <c r="Z250" s="53">
        <f t="shared" si="285"/>
        <v>0</v>
      </c>
      <c r="AB250" s="53">
        <f t="shared" si="286"/>
        <v>0</v>
      </c>
      <c r="AC250" s="53">
        <f t="shared" si="287"/>
        <v>0</v>
      </c>
      <c r="AD250" s="53">
        <f t="shared" si="288"/>
        <v>0</v>
      </c>
      <c r="AE250" s="53">
        <f t="shared" si="289"/>
        <v>0</v>
      </c>
      <c r="AF250" s="53">
        <f t="shared" si="290"/>
        <v>0</v>
      </c>
      <c r="AG250" s="53">
        <f t="shared" si="291"/>
        <v>0</v>
      </c>
      <c r="AH250" s="53">
        <f t="shared" si="292"/>
        <v>0</v>
      </c>
      <c r="AI250" s="36" t="s">
        <v>10</v>
      </c>
      <c r="AJ250" s="53">
        <f t="shared" si="293"/>
        <v>0</v>
      </c>
      <c r="AK250" s="53">
        <f t="shared" si="294"/>
        <v>0</v>
      </c>
      <c r="AL250" s="53">
        <f t="shared" si="295"/>
        <v>0</v>
      </c>
      <c r="AN250" s="53">
        <v>21</v>
      </c>
      <c r="AO250" s="53">
        <f>G250*0.325723849</f>
        <v>0</v>
      </c>
      <c r="AP250" s="53">
        <f>G250*(1-0.325723849)</f>
        <v>0</v>
      </c>
      <c r="AQ250" s="54" t="s">
        <v>134</v>
      </c>
      <c r="AV250" s="53">
        <f t="shared" si="296"/>
        <v>0</v>
      </c>
      <c r="AW250" s="53">
        <f t="shared" si="297"/>
        <v>0</v>
      </c>
      <c r="AX250" s="53">
        <f t="shared" si="298"/>
        <v>0</v>
      </c>
      <c r="AY250" s="54" t="s">
        <v>818</v>
      </c>
      <c r="AZ250" s="54" t="s">
        <v>779</v>
      </c>
      <c r="BA250" s="36" t="s">
        <v>116</v>
      </c>
      <c r="BC250" s="53">
        <f t="shared" si="299"/>
        <v>0</v>
      </c>
      <c r="BD250" s="53">
        <f t="shared" si="300"/>
        <v>0</v>
      </c>
      <c r="BE250" s="53">
        <v>0</v>
      </c>
      <c r="BF250" s="53">
        <f>250</f>
        <v>250</v>
      </c>
      <c r="BH250" s="53">
        <f t="shared" si="301"/>
        <v>0</v>
      </c>
      <c r="BI250" s="53">
        <f t="shared" si="302"/>
        <v>0</v>
      </c>
      <c r="BJ250" s="53">
        <f t="shared" si="303"/>
        <v>0</v>
      </c>
      <c r="BK250" s="54" t="s">
        <v>117</v>
      </c>
      <c r="BL250" s="53">
        <v>776</v>
      </c>
      <c r="BW250" s="53">
        <v>21</v>
      </c>
      <c r="BX250" s="3" t="s">
        <v>824</v>
      </c>
    </row>
    <row r="251" spans="1:76" ht="23" x14ac:dyDescent="0.35">
      <c r="A251" s="1" t="s">
        <v>825</v>
      </c>
      <c r="B251" s="2" t="s">
        <v>826</v>
      </c>
      <c r="C251" s="91" t="s">
        <v>827</v>
      </c>
      <c r="D251" s="88"/>
      <c r="E251" s="2" t="s">
        <v>113</v>
      </c>
      <c r="F251" s="53">
        <v>415.5</v>
      </c>
      <c r="G251" s="77">
        <v>0</v>
      </c>
      <c r="H251" s="53">
        <f t="shared" si="284"/>
        <v>0</v>
      </c>
      <c r="I251" s="79" t="s">
        <v>1688</v>
      </c>
      <c r="J251" s="49"/>
      <c r="Z251" s="53">
        <f t="shared" si="285"/>
        <v>0</v>
      </c>
      <c r="AB251" s="53">
        <f t="shared" si="286"/>
        <v>0</v>
      </c>
      <c r="AC251" s="53">
        <f t="shared" si="287"/>
        <v>0</v>
      </c>
      <c r="AD251" s="53">
        <f t="shared" si="288"/>
        <v>0</v>
      </c>
      <c r="AE251" s="53">
        <f t="shared" si="289"/>
        <v>0</v>
      </c>
      <c r="AF251" s="53">
        <f t="shared" si="290"/>
        <v>0</v>
      </c>
      <c r="AG251" s="53">
        <f t="shared" si="291"/>
        <v>0</v>
      </c>
      <c r="AH251" s="53">
        <f t="shared" si="292"/>
        <v>0</v>
      </c>
      <c r="AI251" s="36" t="s">
        <v>10</v>
      </c>
      <c r="AJ251" s="53">
        <f t="shared" si="293"/>
        <v>0</v>
      </c>
      <c r="AK251" s="53">
        <f t="shared" si="294"/>
        <v>0</v>
      </c>
      <c r="AL251" s="53">
        <f t="shared" si="295"/>
        <v>0</v>
      </c>
      <c r="AN251" s="53">
        <v>21</v>
      </c>
      <c r="AO251" s="53">
        <f>G251*0.270239937</f>
        <v>0</v>
      </c>
      <c r="AP251" s="53">
        <f>G251*(1-0.270239937)</f>
        <v>0</v>
      </c>
      <c r="AQ251" s="54" t="s">
        <v>134</v>
      </c>
      <c r="AV251" s="53">
        <f t="shared" si="296"/>
        <v>0</v>
      </c>
      <c r="AW251" s="53">
        <f t="shared" si="297"/>
        <v>0</v>
      </c>
      <c r="AX251" s="53">
        <f t="shared" si="298"/>
        <v>0</v>
      </c>
      <c r="AY251" s="54" t="s">
        <v>818</v>
      </c>
      <c r="AZ251" s="54" t="s">
        <v>779</v>
      </c>
      <c r="BA251" s="36" t="s">
        <v>116</v>
      </c>
      <c r="BC251" s="53">
        <f t="shared" si="299"/>
        <v>0</v>
      </c>
      <c r="BD251" s="53">
        <f t="shared" si="300"/>
        <v>0</v>
      </c>
      <c r="BE251" s="53">
        <v>0</v>
      </c>
      <c r="BF251" s="53">
        <f>251</f>
        <v>251</v>
      </c>
      <c r="BH251" s="53">
        <f t="shared" si="301"/>
        <v>0</v>
      </c>
      <c r="BI251" s="53">
        <f t="shared" si="302"/>
        <v>0</v>
      </c>
      <c r="BJ251" s="53">
        <f t="shared" si="303"/>
        <v>0</v>
      </c>
      <c r="BK251" s="54" t="s">
        <v>117</v>
      </c>
      <c r="BL251" s="53">
        <v>776</v>
      </c>
      <c r="BW251" s="53">
        <v>21</v>
      </c>
      <c r="BX251" s="3" t="s">
        <v>827</v>
      </c>
    </row>
    <row r="252" spans="1:76" ht="23" x14ac:dyDescent="0.35">
      <c r="A252" s="1" t="s">
        <v>828</v>
      </c>
      <c r="B252" s="2" t="s">
        <v>829</v>
      </c>
      <c r="C252" s="91" t="s">
        <v>830</v>
      </c>
      <c r="D252" s="88"/>
      <c r="E252" s="2" t="s">
        <v>137</v>
      </c>
      <c r="F252" s="53">
        <v>120</v>
      </c>
      <c r="G252" s="77">
        <v>0</v>
      </c>
      <c r="H252" s="53">
        <f t="shared" si="284"/>
        <v>0</v>
      </c>
      <c r="I252" s="79" t="s">
        <v>1688</v>
      </c>
      <c r="J252" s="49"/>
      <c r="Z252" s="53">
        <f t="shared" si="285"/>
        <v>0</v>
      </c>
      <c r="AB252" s="53">
        <f t="shared" si="286"/>
        <v>0</v>
      </c>
      <c r="AC252" s="53">
        <f t="shared" si="287"/>
        <v>0</v>
      </c>
      <c r="AD252" s="53">
        <f t="shared" si="288"/>
        <v>0</v>
      </c>
      <c r="AE252" s="53">
        <f t="shared" si="289"/>
        <v>0</v>
      </c>
      <c r="AF252" s="53">
        <f t="shared" si="290"/>
        <v>0</v>
      </c>
      <c r="AG252" s="53">
        <f t="shared" si="291"/>
        <v>0</v>
      </c>
      <c r="AH252" s="53">
        <f t="shared" si="292"/>
        <v>0</v>
      </c>
      <c r="AI252" s="36" t="s">
        <v>10</v>
      </c>
      <c r="AJ252" s="53">
        <f t="shared" si="293"/>
        <v>0</v>
      </c>
      <c r="AK252" s="53">
        <f t="shared" si="294"/>
        <v>0</v>
      </c>
      <c r="AL252" s="53">
        <f t="shared" si="295"/>
        <v>0</v>
      </c>
      <c r="AN252" s="53">
        <v>21</v>
      </c>
      <c r="AO252" s="53">
        <f>G252*0</f>
        <v>0</v>
      </c>
      <c r="AP252" s="53">
        <f>G252*(1-0)</f>
        <v>0</v>
      </c>
      <c r="AQ252" s="54" t="s">
        <v>134</v>
      </c>
      <c r="AV252" s="53">
        <f t="shared" si="296"/>
        <v>0</v>
      </c>
      <c r="AW252" s="53">
        <f t="shared" si="297"/>
        <v>0</v>
      </c>
      <c r="AX252" s="53">
        <f t="shared" si="298"/>
        <v>0</v>
      </c>
      <c r="AY252" s="54" t="s">
        <v>818</v>
      </c>
      <c r="AZ252" s="54" t="s">
        <v>779</v>
      </c>
      <c r="BA252" s="36" t="s">
        <v>116</v>
      </c>
      <c r="BC252" s="53">
        <f t="shared" si="299"/>
        <v>0</v>
      </c>
      <c r="BD252" s="53">
        <f t="shared" si="300"/>
        <v>0</v>
      </c>
      <c r="BE252" s="53">
        <v>0</v>
      </c>
      <c r="BF252" s="53">
        <f>252</f>
        <v>252</v>
      </c>
      <c r="BH252" s="53">
        <f t="shared" si="301"/>
        <v>0</v>
      </c>
      <c r="BI252" s="53">
        <f t="shared" si="302"/>
        <v>0</v>
      </c>
      <c r="BJ252" s="53">
        <f t="shared" si="303"/>
        <v>0</v>
      </c>
      <c r="BK252" s="54" t="s">
        <v>117</v>
      </c>
      <c r="BL252" s="53">
        <v>776</v>
      </c>
      <c r="BW252" s="53">
        <v>21</v>
      </c>
      <c r="BX252" s="3" t="s">
        <v>830</v>
      </c>
    </row>
    <row r="253" spans="1:76" ht="23" x14ac:dyDescent="0.35">
      <c r="A253" s="1" t="s">
        <v>831</v>
      </c>
      <c r="B253" s="2" t="s">
        <v>832</v>
      </c>
      <c r="C253" s="91" t="s">
        <v>833</v>
      </c>
      <c r="D253" s="88"/>
      <c r="E253" s="2" t="s">
        <v>137</v>
      </c>
      <c r="F253" s="53">
        <v>19</v>
      </c>
      <c r="G253" s="77">
        <v>0</v>
      </c>
      <c r="H253" s="53">
        <f t="shared" si="284"/>
        <v>0</v>
      </c>
      <c r="I253" s="79" t="s">
        <v>1688</v>
      </c>
      <c r="J253" s="49"/>
      <c r="Z253" s="53">
        <f t="shared" si="285"/>
        <v>0</v>
      </c>
      <c r="AB253" s="53">
        <f t="shared" si="286"/>
        <v>0</v>
      </c>
      <c r="AC253" s="53">
        <f t="shared" si="287"/>
        <v>0</v>
      </c>
      <c r="AD253" s="53">
        <f t="shared" si="288"/>
        <v>0</v>
      </c>
      <c r="AE253" s="53">
        <f t="shared" si="289"/>
        <v>0</v>
      </c>
      <c r="AF253" s="53">
        <f t="shared" si="290"/>
        <v>0</v>
      </c>
      <c r="AG253" s="53">
        <f t="shared" si="291"/>
        <v>0</v>
      </c>
      <c r="AH253" s="53">
        <f t="shared" si="292"/>
        <v>0</v>
      </c>
      <c r="AI253" s="36" t="s">
        <v>10</v>
      </c>
      <c r="AJ253" s="53">
        <f t="shared" si="293"/>
        <v>0</v>
      </c>
      <c r="AK253" s="53">
        <f t="shared" si="294"/>
        <v>0</v>
      </c>
      <c r="AL253" s="53">
        <f t="shared" si="295"/>
        <v>0</v>
      </c>
      <c r="AN253" s="53">
        <v>21</v>
      </c>
      <c r="AO253" s="53">
        <f>G253*0.631857415</f>
        <v>0</v>
      </c>
      <c r="AP253" s="53">
        <f>G253*(1-0.631857415)</f>
        <v>0</v>
      </c>
      <c r="AQ253" s="54" t="s">
        <v>134</v>
      </c>
      <c r="AV253" s="53">
        <f t="shared" si="296"/>
        <v>0</v>
      </c>
      <c r="AW253" s="53">
        <f t="shared" si="297"/>
        <v>0</v>
      </c>
      <c r="AX253" s="53">
        <f t="shared" si="298"/>
        <v>0</v>
      </c>
      <c r="AY253" s="54" t="s">
        <v>818</v>
      </c>
      <c r="AZ253" s="54" t="s">
        <v>779</v>
      </c>
      <c r="BA253" s="36" t="s">
        <v>116</v>
      </c>
      <c r="BC253" s="53">
        <f t="shared" si="299"/>
        <v>0</v>
      </c>
      <c r="BD253" s="53">
        <f t="shared" si="300"/>
        <v>0</v>
      </c>
      <c r="BE253" s="53">
        <v>0</v>
      </c>
      <c r="BF253" s="53">
        <f>253</f>
        <v>253</v>
      </c>
      <c r="BH253" s="53">
        <f t="shared" si="301"/>
        <v>0</v>
      </c>
      <c r="BI253" s="53">
        <f t="shared" si="302"/>
        <v>0</v>
      </c>
      <c r="BJ253" s="53">
        <f t="shared" si="303"/>
        <v>0</v>
      </c>
      <c r="BK253" s="54" t="s">
        <v>117</v>
      </c>
      <c r="BL253" s="53">
        <v>776</v>
      </c>
      <c r="BW253" s="53">
        <v>21</v>
      </c>
      <c r="BX253" s="3" t="s">
        <v>833</v>
      </c>
    </row>
    <row r="254" spans="1:76" ht="23" x14ac:dyDescent="0.35">
      <c r="A254" s="1" t="s">
        <v>834</v>
      </c>
      <c r="B254" s="2" t="s">
        <v>835</v>
      </c>
      <c r="C254" s="91" t="s">
        <v>836</v>
      </c>
      <c r="D254" s="88"/>
      <c r="E254" s="2" t="s">
        <v>137</v>
      </c>
      <c r="F254" s="53">
        <v>19</v>
      </c>
      <c r="G254" s="77">
        <v>0</v>
      </c>
      <c r="H254" s="53">
        <f t="shared" si="284"/>
        <v>0</v>
      </c>
      <c r="I254" s="79" t="s">
        <v>1688</v>
      </c>
      <c r="J254" s="49"/>
      <c r="Z254" s="53">
        <f t="shared" si="285"/>
        <v>0</v>
      </c>
      <c r="AB254" s="53">
        <f t="shared" si="286"/>
        <v>0</v>
      </c>
      <c r="AC254" s="53">
        <f t="shared" si="287"/>
        <v>0</v>
      </c>
      <c r="AD254" s="53">
        <f t="shared" si="288"/>
        <v>0</v>
      </c>
      <c r="AE254" s="53">
        <f t="shared" si="289"/>
        <v>0</v>
      </c>
      <c r="AF254" s="53">
        <f t="shared" si="290"/>
        <v>0</v>
      </c>
      <c r="AG254" s="53">
        <f t="shared" si="291"/>
        <v>0</v>
      </c>
      <c r="AH254" s="53">
        <f t="shared" si="292"/>
        <v>0</v>
      </c>
      <c r="AI254" s="36" t="s">
        <v>10</v>
      </c>
      <c r="AJ254" s="53">
        <f t="shared" si="293"/>
        <v>0</v>
      </c>
      <c r="AK254" s="53">
        <f t="shared" si="294"/>
        <v>0</v>
      </c>
      <c r="AL254" s="53">
        <f t="shared" si="295"/>
        <v>0</v>
      </c>
      <c r="AN254" s="53">
        <v>21</v>
      </c>
      <c r="AO254" s="53">
        <f>G254*0.333654676</f>
        <v>0</v>
      </c>
      <c r="AP254" s="53">
        <f>G254*(1-0.333654676)</f>
        <v>0</v>
      </c>
      <c r="AQ254" s="54" t="s">
        <v>134</v>
      </c>
      <c r="AV254" s="53">
        <f t="shared" si="296"/>
        <v>0</v>
      </c>
      <c r="AW254" s="53">
        <f t="shared" si="297"/>
        <v>0</v>
      </c>
      <c r="AX254" s="53">
        <f t="shared" si="298"/>
        <v>0</v>
      </c>
      <c r="AY254" s="54" t="s">
        <v>818</v>
      </c>
      <c r="AZ254" s="54" t="s">
        <v>779</v>
      </c>
      <c r="BA254" s="36" t="s">
        <v>116</v>
      </c>
      <c r="BC254" s="53">
        <f t="shared" si="299"/>
        <v>0</v>
      </c>
      <c r="BD254" s="53">
        <f t="shared" si="300"/>
        <v>0</v>
      </c>
      <c r="BE254" s="53">
        <v>0</v>
      </c>
      <c r="BF254" s="53">
        <f>254</f>
        <v>254</v>
      </c>
      <c r="BH254" s="53">
        <f t="shared" si="301"/>
        <v>0</v>
      </c>
      <c r="BI254" s="53">
        <f t="shared" si="302"/>
        <v>0</v>
      </c>
      <c r="BJ254" s="53">
        <f t="shared" si="303"/>
        <v>0</v>
      </c>
      <c r="BK254" s="54" t="s">
        <v>117</v>
      </c>
      <c r="BL254" s="53">
        <v>776</v>
      </c>
      <c r="BW254" s="53">
        <v>21</v>
      </c>
      <c r="BX254" s="3" t="s">
        <v>836</v>
      </c>
    </row>
    <row r="255" spans="1:76" ht="23" x14ac:dyDescent="0.35">
      <c r="A255" s="1" t="s">
        <v>837</v>
      </c>
      <c r="B255" s="2" t="s">
        <v>838</v>
      </c>
      <c r="C255" s="91" t="s">
        <v>839</v>
      </c>
      <c r="D255" s="88"/>
      <c r="E255" s="2" t="s">
        <v>137</v>
      </c>
      <c r="F255" s="53">
        <v>19</v>
      </c>
      <c r="G255" s="77">
        <v>0</v>
      </c>
      <c r="H255" s="53">
        <f t="shared" si="284"/>
        <v>0</v>
      </c>
      <c r="I255" s="79" t="s">
        <v>1688</v>
      </c>
      <c r="J255" s="49"/>
      <c r="Z255" s="53">
        <f t="shared" si="285"/>
        <v>0</v>
      </c>
      <c r="AB255" s="53">
        <f t="shared" si="286"/>
        <v>0</v>
      </c>
      <c r="AC255" s="53">
        <f t="shared" si="287"/>
        <v>0</v>
      </c>
      <c r="AD255" s="53">
        <f t="shared" si="288"/>
        <v>0</v>
      </c>
      <c r="AE255" s="53">
        <f t="shared" si="289"/>
        <v>0</v>
      </c>
      <c r="AF255" s="53">
        <f t="shared" si="290"/>
        <v>0</v>
      </c>
      <c r="AG255" s="53">
        <f t="shared" si="291"/>
        <v>0</v>
      </c>
      <c r="AH255" s="53">
        <f t="shared" si="292"/>
        <v>0</v>
      </c>
      <c r="AI255" s="36" t="s">
        <v>10</v>
      </c>
      <c r="AJ255" s="53">
        <f t="shared" si="293"/>
        <v>0</v>
      </c>
      <c r="AK255" s="53">
        <f t="shared" si="294"/>
        <v>0</v>
      </c>
      <c r="AL255" s="53">
        <f t="shared" si="295"/>
        <v>0</v>
      </c>
      <c r="AN255" s="53">
        <v>21</v>
      </c>
      <c r="AO255" s="53">
        <f>G255*0.204714392</f>
        <v>0</v>
      </c>
      <c r="AP255" s="53">
        <f>G255*(1-0.204714392)</f>
        <v>0</v>
      </c>
      <c r="AQ255" s="54" t="s">
        <v>134</v>
      </c>
      <c r="AV255" s="53">
        <f t="shared" si="296"/>
        <v>0</v>
      </c>
      <c r="AW255" s="53">
        <f t="shared" si="297"/>
        <v>0</v>
      </c>
      <c r="AX255" s="53">
        <f t="shared" si="298"/>
        <v>0</v>
      </c>
      <c r="AY255" s="54" t="s">
        <v>818</v>
      </c>
      <c r="AZ255" s="54" t="s">
        <v>779</v>
      </c>
      <c r="BA255" s="36" t="s">
        <v>116</v>
      </c>
      <c r="BC255" s="53">
        <f t="shared" si="299"/>
        <v>0</v>
      </c>
      <c r="BD255" s="53">
        <f t="shared" si="300"/>
        <v>0</v>
      </c>
      <c r="BE255" s="53">
        <v>0</v>
      </c>
      <c r="BF255" s="53">
        <f>255</f>
        <v>255</v>
      </c>
      <c r="BH255" s="53">
        <f t="shared" si="301"/>
        <v>0</v>
      </c>
      <c r="BI255" s="53">
        <f t="shared" si="302"/>
        <v>0</v>
      </c>
      <c r="BJ255" s="53">
        <f t="shared" si="303"/>
        <v>0</v>
      </c>
      <c r="BK255" s="54" t="s">
        <v>117</v>
      </c>
      <c r="BL255" s="53">
        <v>776</v>
      </c>
      <c r="BW255" s="53">
        <v>21</v>
      </c>
      <c r="BX255" s="3" t="s">
        <v>839</v>
      </c>
    </row>
    <row r="256" spans="1:76" ht="23" x14ac:dyDescent="0.35">
      <c r="A256" s="1" t="s">
        <v>840</v>
      </c>
      <c r="B256" s="2" t="s">
        <v>841</v>
      </c>
      <c r="C256" s="91" t="s">
        <v>842</v>
      </c>
      <c r="D256" s="88"/>
      <c r="E256" s="2" t="s">
        <v>113</v>
      </c>
      <c r="F256" s="53">
        <v>23</v>
      </c>
      <c r="G256" s="77">
        <v>0</v>
      </c>
      <c r="H256" s="53">
        <f t="shared" si="284"/>
        <v>0</v>
      </c>
      <c r="I256" s="79" t="s">
        <v>1688</v>
      </c>
      <c r="J256" s="49"/>
      <c r="Z256" s="53">
        <f t="shared" si="285"/>
        <v>0</v>
      </c>
      <c r="AB256" s="53">
        <f t="shared" si="286"/>
        <v>0</v>
      </c>
      <c r="AC256" s="53">
        <f t="shared" si="287"/>
        <v>0</v>
      </c>
      <c r="AD256" s="53">
        <f t="shared" si="288"/>
        <v>0</v>
      </c>
      <c r="AE256" s="53">
        <f t="shared" si="289"/>
        <v>0</v>
      </c>
      <c r="AF256" s="53">
        <f t="shared" si="290"/>
        <v>0</v>
      </c>
      <c r="AG256" s="53">
        <f t="shared" si="291"/>
        <v>0</v>
      </c>
      <c r="AH256" s="53">
        <f t="shared" si="292"/>
        <v>0</v>
      </c>
      <c r="AI256" s="36" t="s">
        <v>10</v>
      </c>
      <c r="AJ256" s="53">
        <f t="shared" si="293"/>
        <v>0</v>
      </c>
      <c r="AK256" s="53">
        <f t="shared" si="294"/>
        <v>0</v>
      </c>
      <c r="AL256" s="53">
        <f t="shared" si="295"/>
        <v>0</v>
      </c>
      <c r="AN256" s="53">
        <v>21</v>
      </c>
      <c r="AO256" s="53">
        <f>G256*0.626795573</f>
        <v>0</v>
      </c>
      <c r="AP256" s="53">
        <f>G256*(1-0.626795573)</f>
        <v>0</v>
      </c>
      <c r="AQ256" s="54" t="s">
        <v>134</v>
      </c>
      <c r="AV256" s="53">
        <f t="shared" si="296"/>
        <v>0</v>
      </c>
      <c r="AW256" s="53">
        <f t="shared" si="297"/>
        <v>0</v>
      </c>
      <c r="AX256" s="53">
        <f t="shared" si="298"/>
        <v>0</v>
      </c>
      <c r="AY256" s="54" t="s">
        <v>818</v>
      </c>
      <c r="AZ256" s="54" t="s">
        <v>779</v>
      </c>
      <c r="BA256" s="36" t="s">
        <v>116</v>
      </c>
      <c r="BC256" s="53">
        <f t="shared" si="299"/>
        <v>0</v>
      </c>
      <c r="BD256" s="53">
        <f t="shared" si="300"/>
        <v>0</v>
      </c>
      <c r="BE256" s="53">
        <v>0</v>
      </c>
      <c r="BF256" s="53">
        <f>256</f>
        <v>256</v>
      </c>
      <c r="BH256" s="53">
        <f t="shared" si="301"/>
        <v>0</v>
      </c>
      <c r="BI256" s="53">
        <f t="shared" si="302"/>
        <v>0</v>
      </c>
      <c r="BJ256" s="53">
        <f t="shared" si="303"/>
        <v>0</v>
      </c>
      <c r="BK256" s="54" t="s">
        <v>117</v>
      </c>
      <c r="BL256" s="53">
        <v>776</v>
      </c>
      <c r="BW256" s="53">
        <v>21</v>
      </c>
      <c r="BX256" s="3" t="s">
        <v>842</v>
      </c>
    </row>
    <row r="257" spans="1:76" ht="23" x14ac:dyDescent="0.35">
      <c r="A257" s="1" t="s">
        <v>843</v>
      </c>
      <c r="B257" s="2" t="s">
        <v>844</v>
      </c>
      <c r="C257" s="91" t="s">
        <v>845</v>
      </c>
      <c r="D257" s="88"/>
      <c r="E257" s="2" t="s">
        <v>137</v>
      </c>
      <c r="F257" s="53">
        <v>108</v>
      </c>
      <c r="G257" s="77">
        <v>0</v>
      </c>
      <c r="H257" s="53">
        <f t="shared" si="284"/>
        <v>0</v>
      </c>
      <c r="I257" s="79" t="s">
        <v>1688</v>
      </c>
      <c r="J257" s="49"/>
      <c r="Z257" s="53">
        <f t="shared" si="285"/>
        <v>0</v>
      </c>
      <c r="AB257" s="53">
        <f t="shared" si="286"/>
        <v>0</v>
      </c>
      <c r="AC257" s="53">
        <f t="shared" si="287"/>
        <v>0</v>
      </c>
      <c r="AD257" s="53">
        <f t="shared" si="288"/>
        <v>0</v>
      </c>
      <c r="AE257" s="53">
        <f t="shared" si="289"/>
        <v>0</v>
      </c>
      <c r="AF257" s="53">
        <f t="shared" si="290"/>
        <v>0</v>
      </c>
      <c r="AG257" s="53">
        <f t="shared" si="291"/>
        <v>0</v>
      </c>
      <c r="AH257" s="53">
        <f t="shared" si="292"/>
        <v>0</v>
      </c>
      <c r="AI257" s="36" t="s">
        <v>10</v>
      </c>
      <c r="AJ257" s="53">
        <f t="shared" si="293"/>
        <v>0</v>
      </c>
      <c r="AK257" s="53">
        <f t="shared" si="294"/>
        <v>0</v>
      </c>
      <c r="AL257" s="53">
        <f t="shared" si="295"/>
        <v>0</v>
      </c>
      <c r="AN257" s="53">
        <v>21</v>
      </c>
      <c r="AO257" s="53">
        <f>G257*0.284304871</f>
        <v>0</v>
      </c>
      <c r="AP257" s="53">
        <f>G257*(1-0.284304871)</f>
        <v>0</v>
      </c>
      <c r="AQ257" s="54" t="s">
        <v>134</v>
      </c>
      <c r="AV257" s="53">
        <f t="shared" si="296"/>
        <v>0</v>
      </c>
      <c r="AW257" s="53">
        <f t="shared" si="297"/>
        <v>0</v>
      </c>
      <c r="AX257" s="53">
        <f t="shared" si="298"/>
        <v>0</v>
      </c>
      <c r="AY257" s="54" t="s">
        <v>818</v>
      </c>
      <c r="AZ257" s="54" t="s">
        <v>779</v>
      </c>
      <c r="BA257" s="36" t="s">
        <v>116</v>
      </c>
      <c r="BC257" s="53">
        <f t="shared" si="299"/>
        <v>0</v>
      </c>
      <c r="BD257" s="53">
        <f t="shared" si="300"/>
        <v>0</v>
      </c>
      <c r="BE257" s="53">
        <v>0</v>
      </c>
      <c r="BF257" s="53">
        <f>257</f>
        <v>257</v>
      </c>
      <c r="BH257" s="53">
        <f t="shared" si="301"/>
        <v>0</v>
      </c>
      <c r="BI257" s="53">
        <f t="shared" si="302"/>
        <v>0</v>
      </c>
      <c r="BJ257" s="53">
        <f t="shared" si="303"/>
        <v>0</v>
      </c>
      <c r="BK257" s="54" t="s">
        <v>117</v>
      </c>
      <c r="BL257" s="53">
        <v>776</v>
      </c>
      <c r="BW257" s="53">
        <v>21</v>
      </c>
      <c r="BX257" s="3" t="s">
        <v>845</v>
      </c>
    </row>
    <row r="258" spans="1:76" ht="23" x14ac:dyDescent="0.35">
      <c r="A258" s="1" t="s">
        <v>846</v>
      </c>
      <c r="B258" s="2" t="s">
        <v>847</v>
      </c>
      <c r="C258" s="91" t="s">
        <v>848</v>
      </c>
      <c r="D258" s="88"/>
      <c r="E258" s="2" t="s">
        <v>113</v>
      </c>
      <c r="F258" s="53">
        <v>265</v>
      </c>
      <c r="G258" s="77">
        <v>0</v>
      </c>
      <c r="H258" s="53">
        <f t="shared" si="284"/>
        <v>0</v>
      </c>
      <c r="I258" s="79" t="s">
        <v>1688</v>
      </c>
      <c r="J258" s="49"/>
      <c r="Z258" s="53">
        <f t="shared" si="285"/>
        <v>0</v>
      </c>
      <c r="AB258" s="53">
        <f t="shared" si="286"/>
        <v>0</v>
      </c>
      <c r="AC258" s="53">
        <f t="shared" si="287"/>
        <v>0</v>
      </c>
      <c r="AD258" s="53">
        <f t="shared" si="288"/>
        <v>0</v>
      </c>
      <c r="AE258" s="53">
        <f t="shared" si="289"/>
        <v>0</v>
      </c>
      <c r="AF258" s="53">
        <f t="shared" si="290"/>
        <v>0</v>
      </c>
      <c r="AG258" s="53">
        <f t="shared" si="291"/>
        <v>0</v>
      </c>
      <c r="AH258" s="53">
        <f t="shared" si="292"/>
        <v>0</v>
      </c>
      <c r="AI258" s="36" t="s">
        <v>10</v>
      </c>
      <c r="AJ258" s="53">
        <f t="shared" si="293"/>
        <v>0</v>
      </c>
      <c r="AK258" s="53">
        <f t="shared" si="294"/>
        <v>0</v>
      </c>
      <c r="AL258" s="53">
        <f t="shared" si="295"/>
        <v>0</v>
      </c>
      <c r="AN258" s="53">
        <v>21</v>
      </c>
      <c r="AO258" s="53">
        <f>G258*0.766781983</f>
        <v>0</v>
      </c>
      <c r="AP258" s="53">
        <f>G258*(1-0.766781983)</f>
        <v>0</v>
      </c>
      <c r="AQ258" s="54" t="s">
        <v>134</v>
      </c>
      <c r="AV258" s="53">
        <f t="shared" si="296"/>
        <v>0</v>
      </c>
      <c r="AW258" s="53">
        <f t="shared" si="297"/>
        <v>0</v>
      </c>
      <c r="AX258" s="53">
        <f t="shared" si="298"/>
        <v>0</v>
      </c>
      <c r="AY258" s="54" t="s">
        <v>818</v>
      </c>
      <c r="AZ258" s="54" t="s">
        <v>779</v>
      </c>
      <c r="BA258" s="36" t="s">
        <v>116</v>
      </c>
      <c r="BC258" s="53">
        <f t="shared" si="299"/>
        <v>0</v>
      </c>
      <c r="BD258" s="53">
        <f t="shared" si="300"/>
        <v>0</v>
      </c>
      <c r="BE258" s="53">
        <v>0</v>
      </c>
      <c r="BF258" s="53">
        <f>258</f>
        <v>258</v>
      </c>
      <c r="BH258" s="53">
        <f t="shared" si="301"/>
        <v>0</v>
      </c>
      <c r="BI258" s="53">
        <f t="shared" si="302"/>
        <v>0</v>
      </c>
      <c r="BJ258" s="53">
        <f t="shared" si="303"/>
        <v>0</v>
      </c>
      <c r="BK258" s="54" t="s">
        <v>117</v>
      </c>
      <c r="BL258" s="53">
        <v>776</v>
      </c>
      <c r="BW258" s="53">
        <v>21</v>
      </c>
      <c r="BX258" s="3" t="s">
        <v>848</v>
      </c>
    </row>
    <row r="259" spans="1:76" ht="25" x14ac:dyDescent="0.35">
      <c r="A259" s="1" t="s">
        <v>849</v>
      </c>
      <c r="B259" s="2" t="s">
        <v>850</v>
      </c>
      <c r="C259" s="156" t="s">
        <v>1693</v>
      </c>
      <c r="D259" s="88"/>
      <c r="E259" s="2" t="s">
        <v>113</v>
      </c>
      <c r="F259" s="53">
        <v>139</v>
      </c>
      <c r="G259" s="77">
        <v>0</v>
      </c>
      <c r="H259" s="53">
        <f t="shared" si="284"/>
        <v>0</v>
      </c>
      <c r="I259" s="79" t="s">
        <v>1688</v>
      </c>
      <c r="J259" s="49"/>
      <c r="Z259" s="53">
        <f t="shared" si="285"/>
        <v>0</v>
      </c>
      <c r="AB259" s="53">
        <f t="shared" si="286"/>
        <v>0</v>
      </c>
      <c r="AC259" s="53">
        <f t="shared" si="287"/>
        <v>0</v>
      </c>
      <c r="AD259" s="53">
        <f t="shared" si="288"/>
        <v>0</v>
      </c>
      <c r="AE259" s="53">
        <f t="shared" si="289"/>
        <v>0</v>
      </c>
      <c r="AF259" s="53">
        <f t="shared" si="290"/>
        <v>0</v>
      </c>
      <c r="AG259" s="53">
        <f t="shared" si="291"/>
        <v>0</v>
      </c>
      <c r="AH259" s="53">
        <f t="shared" si="292"/>
        <v>0</v>
      </c>
      <c r="AI259" s="36" t="s">
        <v>10</v>
      </c>
      <c r="AJ259" s="53">
        <f t="shared" si="293"/>
        <v>0</v>
      </c>
      <c r="AK259" s="53">
        <f t="shared" si="294"/>
        <v>0</v>
      </c>
      <c r="AL259" s="53">
        <f t="shared" si="295"/>
        <v>0</v>
      </c>
      <c r="AN259" s="53">
        <v>21</v>
      </c>
      <c r="AO259" s="53">
        <f>G259*0.863336753</f>
        <v>0</v>
      </c>
      <c r="AP259" s="53">
        <f>G259*(1-0.863336753)</f>
        <v>0</v>
      </c>
      <c r="AQ259" s="54" t="s">
        <v>134</v>
      </c>
      <c r="AV259" s="53">
        <f t="shared" si="296"/>
        <v>0</v>
      </c>
      <c r="AW259" s="53">
        <f t="shared" si="297"/>
        <v>0</v>
      </c>
      <c r="AX259" s="53">
        <f t="shared" si="298"/>
        <v>0</v>
      </c>
      <c r="AY259" s="54" t="s">
        <v>818</v>
      </c>
      <c r="AZ259" s="54" t="s">
        <v>779</v>
      </c>
      <c r="BA259" s="36" t="s">
        <v>116</v>
      </c>
      <c r="BC259" s="53">
        <f t="shared" si="299"/>
        <v>0</v>
      </c>
      <c r="BD259" s="53">
        <f t="shared" si="300"/>
        <v>0</v>
      </c>
      <c r="BE259" s="53">
        <v>0</v>
      </c>
      <c r="BF259" s="53">
        <f>259</f>
        <v>259</v>
      </c>
      <c r="BH259" s="53">
        <f t="shared" si="301"/>
        <v>0</v>
      </c>
      <c r="BI259" s="53">
        <f t="shared" si="302"/>
        <v>0</v>
      </c>
      <c r="BJ259" s="53">
        <f t="shared" si="303"/>
        <v>0</v>
      </c>
      <c r="BK259" s="54" t="s">
        <v>117</v>
      </c>
      <c r="BL259" s="53">
        <v>776</v>
      </c>
      <c r="BW259" s="53">
        <v>21</v>
      </c>
      <c r="BX259" s="3" t="s">
        <v>851</v>
      </c>
    </row>
    <row r="260" spans="1:76" ht="23" x14ac:dyDescent="0.35">
      <c r="A260" s="1" t="s">
        <v>852</v>
      </c>
      <c r="B260" s="2" t="s">
        <v>853</v>
      </c>
      <c r="C260" s="91" t="s">
        <v>854</v>
      </c>
      <c r="D260" s="88"/>
      <c r="E260" s="2" t="s">
        <v>121</v>
      </c>
      <c r="F260" s="53">
        <v>67</v>
      </c>
      <c r="G260" s="77">
        <v>0</v>
      </c>
      <c r="H260" s="53">
        <f t="shared" si="284"/>
        <v>0</v>
      </c>
      <c r="I260" s="79" t="s">
        <v>1688</v>
      </c>
      <c r="J260" s="49"/>
      <c r="Z260" s="53">
        <f t="shared" si="285"/>
        <v>0</v>
      </c>
      <c r="AB260" s="53">
        <f t="shared" si="286"/>
        <v>0</v>
      </c>
      <c r="AC260" s="53">
        <f t="shared" si="287"/>
        <v>0</v>
      </c>
      <c r="AD260" s="53">
        <f t="shared" si="288"/>
        <v>0</v>
      </c>
      <c r="AE260" s="53">
        <f t="shared" si="289"/>
        <v>0</v>
      </c>
      <c r="AF260" s="53">
        <f t="shared" si="290"/>
        <v>0</v>
      </c>
      <c r="AG260" s="53">
        <f t="shared" si="291"/>
        <v>0</v>
      </c>
      <c r="AH260" s="53">
        <f t="shared" si="292"/>
        <v>0</v>
      </c>
      <c r="AI260" s="36" t="s">
        <v>10</v>
      </c>
      <c r="AJ260" s="53">
        <f t="shared" si="293"/>
        <v>0</v>
      </c>
      <c r="AK260" s="53">
        <f t="shared" si="294"/>
        <v>0</v>
      </c>
      <c r="AL260" s="53">
        <f t="shared" si="295"/>
        <v>0</v>
      </c>
      <c r="AN260" s="53">
        <v>21</v>
      </c>
      <c r="AO260" s="53">
        <f>G260*0</f>
        <v>0</v>
      </c>
      <c r="AP260" s="53">
        <f>G260*(1-0)</f>
        <v>0</v>
      </c>
      <c r="AQ260" s="54" t="s">
        <v>134</v>
      </c>
      <c r="AV260" s="53">
        <f t="shared" si="296"/>
        <v>0</v>
      </c>
      <c r="AW260" s="53">
        <f t="shared" si="297"/>
        <v>0</v>
      </c>
      <c r="AX260" s="53">
        <f t="shared" si="298"/>
        <v>0</v>
      </c>
      <c r="AY260" s="54" t="s">
        <v>818</v>
      </c>
      <c r="AZ260" s="54" t="s">
        <v>779</v>
      </c>
      <c r="BA260" s="36" t="s">
        <v>116</v>
      </c>
      <c r="BC260" s="53">
        <f t="shared" si="299"/>
        <v>0</v>
      </c>
      <c r="BD260" s="53">
        <f t="shared" si="300"/>
        <v>0</v>
      </c>
      <c r="BE260" s="53">
        <v>0</v>
      </c>
      <c r="BF260" s="53">
        <f>260</f>
        <v>260</v>
      </c>
      <c r="BH260" s="53">
        <f t="shared" si="301"/>
        <v>0</v>
      </c>
      <c r="BI260" s="53">
        <f t="shared" si="302"/>
        <v>0</v>
      </c>
      <c r="BJ260" s="53">
        <f t="shared" si="303"/>
        <v>0</v>
      </c>
      <c r="BK260" s="54" t="s">
        <v>117</v>
      </c>
      <c r="BL260" s="53">
        <v>776</v>
      </c>
      <c r="BW260" s="53">
        <v>21</v>
      </c>
      <c r="BX260" s="3" t="s">
        <v>854</v>
      </c>
    </row>
    <row r="261" spans="1:76" ht="23" x14ac:dyDescent="0.35">
      <c r="A261" s="1" t="s">
        <v>855</v>
      </c>
      <c r="B261" s="2" t="s">
        <v>856</v>
      </c>
      <c r="C261" s="91" t="s">
        <v>857</v>
      </c>
      <c r="D261" s="88"/>
      <c r="E261" s="2" t="s">
        <v>137</v>
      </c>
      <c r="F261" s="53">
        <v>94.1</v>
      </c>
      <c r="G261" s="77">
        <v>0</v>
      </c>
      <c r="H261" s="53">
        <f t="shared" si="284"/>
        <v>0</v>
      </c>
      <c r="I261" s="79" t="s">
        <v>1688</v>
      </c>
      <c r="J261" s="49"/>
      <c r="Z261" s="53">
        <f t="shared" si="285"/>
        <v>0</v>
      </c>
      <c r="AB261" s="53">
        <f t="shared" si="286"/>
        <v>0</v>
      </c>
      <c r="AC261" s="53">
        <f t="shared" si="287"/>
        <v>0</v>
      </c>
      <c r="AD261" s="53">
        <f t="shared" si="288"/>
        <v>0</v>
      </c>
      <c r="AE261" s="53">
        <f t="shared" si="289"/>
        <v>0</v>
      </c>
      <c r="AF261" s="53">
        <f t="shared" si="290"/>
        <v>0</v>
      </c>
      <c r="AG261" s="53">
        <f t="shared" si="291"/>
        <v>0</v>
      </c>
      <c r="AH261" s="53">
        <f t="shared" si="292"/>
        <v>0</v>
      </c>
      <c r="AI261" s="36" t="s">
        <v>10</v>
      </c>
      <c r="AJ261" s="53">
        <f t="shared" si="293"/>
        <v>0</v>
      </c>
      <c r="AK261" s="53">
        <f t="shared" si="294"/>
        <v>0</v>
      </c>
      <c r="AL261" s="53">
        <f t="shared" si="295"/>
        <v>0</v>
      </c>
      <c r="AN261" s="53">
        <v>21</v>
      </c>
      <c r="AO261" s="53">
        <f>G261*0.720203793</f>
        <v>0</v>
      </c>
      <c r="AP261" s="53">
        <f>G261*(1-0.720203793)</f>
        <v>0</v>
      </c>
      <c r="AQ261" s="54" t="s">
        <v>134</v>
      </c>
      <c r="AV261" s="53">
        <f t="shared" si="296"/>
        <v>0</v>
      </c>
      <c r="AW261" s="53">
        <f t="shared" si="297"/>
        <v>0</v>
      </c>
      <c r="AX261" s="53">
        <f t="shared" si="298"/>
        <v>0</v>
      </c>
      <c r="AY261" s="54" t="s">
        <v>818</v>
      </c>
      <c r="AZ261" s="54" t="s">
        <v>779</v>
      </c>
      <c r="BA261" s="36" t="s">
        <v>116</v>
      </c>
      <c r="BC261" s="53">
        <f t="shared" si="299"/>
        <v>0</v>
      </c>
      <c r="BD261" s="53">
        <f t="shared" si="300"/>
        <v>0</v>
      </c>
      <c r="BE261" s="53">
        <v>0</v>
      </c>
      <c r="BF261" s="53">
        <f>261</f>
        <v>261</v>
      </c>
      <c r="BH261" s="53">
        <f t="shared" si="301"/>
        <v>0</v>
      </c>
      <c r="BI261" s="53">
        <f t="shared" si="302"/>
        <v>0</v>
      </c>
      <c r="BJ261" s="53">
        <f t="shared" si="303"/>
        <v>0</v>
      </c>
      <c r="BK261" s="54" t="s">
        <v>117</v>
      </c>
      <c r="BL261" s="53">
        <v>776</v>
      </c>
      <c r="BW261" s="53">
        <v>21</v>
      </c>
      <c r="BX261" s="3" t="s">
        <v>857</v>
      </c>
    </row>
    <row r="262" spans="1:76" ht="14.5" x14ac:dyDescent="0.35">
      <c r="A262" s="50" t="s">
        <v>10</v>
      </c>
      <c r="B262" s="51" t="s">
        <v>858</v>
      </c>
      <c r="C262" s="172" t="s">
        <v>859</v>
      </c>
      <c r="D262" s="173"/>
      <c r="E262" s="52" t="s">
        <v>75</v>
      </c>
      <c r="F262" s="52" t="s">
        <v>75</v>
      </c>
      <c r="G262" s="52" t="s">
        <v>75</v>
      </c>
      <c r="H262" s="28">
        <f>SUM(H263:H271)</f>
        <v>0</v>
      </c>
      <c r="I262" s="36" t="s">
        <v>10</v>
      </c>
      <c r="J262" s="49"/>
      <c r="AI262" s="36" t="s">
        <v>10</v>
      </c>
      <c r="AS262" s="28">
        <f>SUM(AJ263:AJ271)</f>
        <v>0</v>
      </c>
      <c r="AT262" s="28">
        <f>SUM(AK263:AK271)</f>
        <v>0</v>
      </c>
      <c r="AU262" s="28">
        <f>SUM(AL263:AL271)</f>
        <v>0</v>
      </c>
    </row>
    <row r="263" spans="1:76" ht="23" x14ac:dyDescent="0.35">
      <c r="A263" s="1" t="s">
        <v>860</v>
      </c>
      <c r="B263" s="2" t="s">
        <v>861</v>
      </c>
      <c r="C263" s="91" t="s">
        <v>862</v>
      </c>
      <c r="D263" s="88"/>
      <c r="E263" s="2" t="s">
        <v>113</v>
      </c>
      <c r="F263" s="53">
        <v>545</v>
      </c>
      <c r="G263" s="77">
        <v>0</v>
      </c>
      <c r="H263" s="53">
        <f t="shared" ref="H263:H271" si="304">ROUND(F263*G263,2)</f>
        <v>0</v>
      </c>
      <c r="I263" s="79" t="s">
        <v>1688</v>
      </c>
      <c r="J263" s="49"/>
      <c r="Z263" s="53">
        <f t="shared" ref="Z263:Z271" si="305">ROUND(IF(AQ263="5",BJ263,0),2)</f>
        <v>0</v>
      </c>
      <c r="AB263" s="53">
        <f t="shared" ref="AB263:AB271" si="306">ROUND(IF(AQ263="1",BH263,0),2)</f>
        <v>0</v>
      </c>
      <c r="AC263" s="53">
        <f t="shared" ref="AC263:AC271" si="307">ROUND(IF(AQ263="1",BI263,0),2)</f>
        <v>0</v>
      </c>
      <c r="AD263" s="53">
        <f t="shared" ref="AD263:AD271" si="308">ROUND(IF(AQ263="7",BH263,0),2)</f>
        <v>0</v>
      </c>
      <c r="AE263" s="53">
        <f t="shared" ref="AE263:AE271" si="309">ROUND(IF(AQ263="7",BI263,0),2)</f>
        <v>0</v>
      </c>
      <c r="AF263" s="53">
        <f t="shared" ref="AF263:AF271" si="310">ROUND(IF(AQ263="2",BH263,0),2)</f>
        <v>0</v>
      </c>
      <c r="AG263" s="53">
        <f t="shared" ref="AG263:AG271" si="311">ROUND(IF(AQ263="2",BI263,0),2)</f>
        <v>0</v>
      </c>
      <c r="AH263" s="53">
        <f t="shared" ref="AH263:AH271" si="312">ROUND(IF(AQ263="0",BJ263,0),2)</f>
        <v>0</v>
      </c>
      <c r="AI263" s="36" t="s">
        <v>10</v>
      </c>
      <c r="AJ263" s="53">
        <f t="shared" ref="AJ263:AJ271" si="313">IF(AN263=0,H263,0)</f>
        <v>0</v>
      </c>
      <c r="AK263" s="53">
        <f t="shared" ref="AK263:AK271" si="314">IF(AN263=12,H263,0)</f>
        <v>0</v>
      </c>
      <c r="AL263" s="53">
        <f t="shared" ref="AL263:AL271" si="315">IF(AN263=21,H263,0)</f>
        <v>0</v>
      </c>
      <c r="AN263" s="53">
        <v>21</v>
      </c>
      <c r="AO263" s="53">
        <f>G263*0</f>
        <v>0</v>
      </c>
      <c r="AP263" s="53">
        <f>G263*(1-0)</f>
        <v>0</v>
      </c>
      <c r="AQ263" s="54" t="s">
        <v>134</v>
      </c>
      <c r="AV263" s="53">
        <f t="shared" ref="AV263:AV271" si="316">ROUND(AW263+AX263,2)</f>
        <v>0</v>
      </c>
      <c r="AW263" s="53">
        <f t="shared" ref="AW263:AW271" si="317">ROUND(F263*AO263,2)</f>
        <v>0</v>
      </c>
      <c r="AX263" s="53">
        <f t="shared" ref="AX263:AX271" si="318">ROUND(F263*AP263,2)</f>
        <v>0</v>
      </c>
      <c r="AY263" s="54" t="s">
        <v>863</v>
      </c>
      <c r="AZ263" s="54" t="s">
        <v>864</v>
      </c>
      <c r="BA263" s="36" t="s">
        <v>116</v>
      </c>
      <c r="BC263" s="53">
        <f t="shared" ref="BC263:BC271" si="319">AW263+AX263</f>
        <v>0</v>
      </c>
      <c r="BD263" s="53">
        <f t="shared" ref="BD263:BD271" si="320">G263/(100-BE263)*100</f>
        <v>0</v>
      </c>
      <c r="BE263" s="53">
        <v>0</v>
      </c>
      <c r="BF263" s="53">
        <f>263</f>
        <v>263</v>
      </c>
      <c r="BH263" s="53">
        <f t="shared" ref="BH263:BH271" si="321">F263*AO263</f>
        <v>0</v>
      </c>
      <c r="BI263" s="53">
        <f t="shared" ref="BI263:BI271" si="322">F263*AP263</f>
        <v>0</v>
      </c>
      <c r="BJ263" s="53">
        <f t="shared" ref="BJ263:BJ271" si="323">F263*G263</f>
        <v>0</v>
      </c>
      <c r="BK263" s="54" t="s">
        <v>117</v>
      </c>
      <c r="BL263" s="53">
        <v>781</v>
      </c>
      <c r="BW263" s="53">
        <v>21</v>
      </c>
      <c r="BX263" s="3" t="s">
        <v>862</v>
      </c>
    </row>
    <row r="264" spans="1:76" ht="23" x14ac:dyDescent="0.35">
      <c r="A264" s="1" t="s">
        <v>865</v>
      </c>
      <c r="B264" s="2" t="s">
        <v>866</v>
      </c>
      <c r="C264" s="91" t="s">
        <v>867</v>
      </c>
      <c r="D264" s="88"/>
      <c r="E264" s="2" t="s">
        <v>113</v>
      </c>
      <c r="F264" s="53">
        <v>545</v>
      </c>
      <c r="G264" s="77">
        <v>0</v>
      </c>
      <c r="H264" s="53">
        <f t="shared" si="304"/>
        <v>0</v>
      </c>
      <c r="I264" s="79" t="s">
        <v>1688</v>
      </c>
      <c r="J264" s="49"/>
      <c r="Z264" s="53">
        <f t="shared" si="305"/>
        <v>0</v>
      </c>
      <c r="AB264" s="53">
        <f t="shared" si="306"/>
        <v>0</v>
      </c>
      <c r="AC264" s="53">
        <f t="shared" si="307"/>
        <v>0</v>
      </c>
      <c r="AD264" s="53">
        <f t="shared" si="308"/>
        <v>0</v>
      </c>
      <c r="AE264" s="53">
        <f t="shared" si="309"/>
        <v>0</v>
      </c>
      <c r="AF264" s="53">
        <f t="shared" si="310"/>
        <v>0</v>
      </c>
      <c r="AG264" s="53">
        <f t="shared" si="311"/>
        <v>0</v>
      </c>
      <c r="AH264" s="53">
        <f t="shared" si="312"/>
        <v>0</v>
      </c>
      <c r="AI264" s="36" t="s">
        <v>10</v>
      </c>
      <c r="AJ264" s="53">
        <f t="shared" si="313"/>
        <v>0</v>
      </c>
      <c r="AK264" s="53">
        <f t="shared" si="314"/>
        <v>0</v>
      </c>
      <c r="AL264" s="53">
        <f t="shared" si="315"/>
        <v>0</v>
      </c>
      <c r="AN264" s="53">
        <v>21</v>
      </c>
      <c r="AO264" s="53">
        <f>G264*0.425861048</f>
        <v>0</v>
      </c>
      <c r="AP264" s="53">
        <f>G264*(1-0.425861048)</f>
        <v>0</v>
      </c>
      <c r="AQ264" s="54" t="s">
        <v>134</v>
      </c>
      <c r="AV264" s="53">
        <f t="shared" si="316"/>
        <v>0</v>
      </c>
      <c r="AW264" s="53">
        <f t="shared" si="317"/>
        <v>0</v>
      </c>
      <c r="AX264" s="53">
        <f t="shared" si="318"/>
        <v>0</v>
      </c>
      <c r="AY264" s="54" t="s">
        <v>863</v>
      </c>
      <c r="AZ264" s="54" t="s">
        <v>864</v>
      </c>
      <c r="BA264" s="36" t="s">
        <v>116</v>
      </c>
      <c r="BC264" s="53">
        <f t="shared" si="319"/>
        <v>0</v>
      </c>
      <c r="BD264" s="53">
        <f t="shared" si="320"/>
        <v>0</v>
      </c>
      <c r="BE264" s="53">
        <v>0</v>
      </c>
      <c r="BF264" s="53">
        <f>264</f>
        <v>264</v>
      </c>
      <c r="BH264" s="53">
        <f t="shared" si="321"/>
        <v>0</v>
      </c>
      <c r="BI264" s="53">
        <f t="shared" si="322"/>
        <v>0</v>
      </c>
      <c r="BJ264" s="53">
        <f t="shared" si="323"/>
        <v>0</v>
      </c>
      <c r="BK264" s="54" t="s">
        <v>117</v>
      </c>
      <c r="BL264" s="53">
        <v>781</v>
      </c>
      <c r="BW264" s="53">
        <v>21</v>
      </c>
      <c r="BX264" s="3" t="s">
        <v>867</v>
      </c>
    </row>
    <row r="265" spans="1:76" ht="23" x14ac:dyDescent="0.35">
      <c r="A265" s="1" t="s">
        <v>868</v>
      </c>
      <c r="B265" s="2" t="s">
        <v>869</v>
      </c>
      <c r="C265" s="91" t="s">
        <v>870</v>
      </c>
      <c r="D265" s="88"/>
      <c r="E265" s="2" t="s">
        <v>121</v>
      </c>
      <c r="F265" s="53">
        <v>70</v>
      </c>
      <c r="G265" s="77">
        <v>0</v>
      </c>
      <c r="H265" s="53">
        <f t="shared" si="304"/>
        <v>0</v>
      </c>
      <c r="I265" s="79" t="s">
        <v>1688</v>
      </c>
      <c r="J265" s="49"/>
      <c r="Z265" s="53">
        <f t="shared" si="305"/>
        <v>0</v>
      </c>
      <c r="AB265" s="53">
        <f t="shared" si="306"/>
        <v>0</v>
      </c>
      <c r="AC265" s="53">
        <f t="shared" si="307"/>
        <v>0</v>
      </c>
      <c r="AD265" s="53">
        <f t="shared" si="308"/>
        <v>0</v>
      </c>
      <c r="AE265" s="53">
        <f t="shared" si="309"/>
        <v>0</v>
      </c>
      <c r="AF265" s="53">
        <f t="shared" si="310"/>
        <v>0</v>
      </c>
      <c r="AG265" s="53">
        <f t="shared" si="311"/>
        <v>0</v>
      </c>
      <c r="AH265" s="53">
        <f t="shared" si="312"/>
        <v>0</v>
      </c>
      <c r="AI265" s="36" t="s">
        <v>10</v>
      </c>
      <c r="AJ265" s="53">
        <f t="shared" si="313"/>
        <v>0</v>
      </c>
      <c r="AK265" s="53">
        <f t="shared" si="314"/>
        <v>0</v>
      </c>
      <c r="AL265" s="53">
        <f t="shared" si="315"/>
        <v>0</v>
      </c>
      <c r="AN265" s="53">
        <v>21</v>
      </c>
      <c r="AO265" s="53">
        <f>G265*0.06440866</f>
        <v>0</v>
      </c>
      <c r="AP265" s="53">
        <f>G265*(1-0.06440866)</f>
        <v>0</v>
      </c>
      <c r="AQ265" s="54" t="s">
        <v>134</v>
      </c>
      <c r="AV265" s="53">
        <f t="shared" si="316"/>
        <v>0</v>
      </c>
      <c r="AW265" s="53">
        <f t="shared" si="317"/>
        <v>0</v>
      </c>
      <c r="AX265" s="53">
        <f t="shared" si="318"/>
        <v>0</v>
      </c>
      <c r="AY265" s="54" t="s">
        <v>863</v>
      </c>
      <c r="AZ265" s="54" t="s">
        <v>864</v>
      </c>
      <c r="BA265" s="36" t="s">
        <v>116</v>
      </c>
      <c r="BC265" s="53">
        <f t="shared" si="319"/>
        <v>0</v>
      </c>
      <c r="BD265" s="53">
        <f t="shared" si="320"/>
        <v>0</v>
      </c>
      <c r="BE265" s="53">
        <v>0</v>
      </c>
      <c r="BF265" s="53">
        <f>265</f>
        <v>265</v>
      </c>
      <c r="BH265" s="53">
        <f t="shared" si="321"/>
        <v>0</v>
      </c>
      <c r="BI265" s="53">
        <f t="shared" si="322"/>
        <v>0</v>
      </c>
      <c r="BJ265" s="53">
        <f t="shared" si="323"/>
        <v>0</v>
      </c>
      <c r="BK265" s="54" t="s">
        <v>117</v>
      </c>
      <c r="BL265" s="53">
        <v>781</v>
      </c>
      <c r="BW265" s="53">
        <v>21</v>
      </c>
      <c r="BX265" s="3" t="s">
        <v>870</v>
      </c>
    </row>
    <row r="266" spans="1:76" ht="23" x14ac:dyDescent="0.35">
      <c r="A266" s="1" t="s">
        <v>871</v>
      </c>
      <c r="B266" s="2" t="s">
        <v>872</v>
      </c>
      <c r="C266" s="91" t="s">
        <v>873</v>
      </c>
      <c r="D266" s="88"/>
      <c r="E266" s="2" t="s">
        <v>137</v>
      </c>
      <c r="F266" s="53">
        <v>74.400000000000006</v>
      </c>
      <c r="G266" s="77">
        <v>0</v>
      </c>
      <c r="H266" s="53">
        <f t="shared" si="304"/>
        <v>0</v>
      </c>
      <c r="I266" s="79" t="s">
        <v>1688</v>
      </c>
      <c r="J266" s="49"/>
      <c r="Z266" s="53">
        <f t="shared" si="305"/>
        <v>0</v>
      </c>
      <c r="AB266" s="53">
        <f t="shared" si="306"/>
        <v>0</v>
      </c>
      <c r="AC266" s="53">
        <f t="shared" si="307"/>
        <v>0</v>
      </c>
      <c r="AD266" s="53">
        <f t="shared" si="308"/>
        <v>0</v>
      </c>
      <c r="AE266" s="53">
        <f t="shared" si="309"/>
        <v>0</v>
      </c>
      <c r="AF266" s="53">
        <f t="shared" si="310"/>
        <v>0</v>
      </c>
      <c r="AG266" s="53">
        <f t="shared" si="311"/>
        <v>0</v>
      </c>
      <c r="AH266" s="53">
        <f t="shared" si="312"/>
        <v>0</v>
      </c>
      <c r="AI266" s="36" t="s">
        <v>10</v>
      </c>
      <c r="AJ266" s="53">
        <f t="shared" si="313"/>
        <v>0</v>
      </c>
      <c r="AK266" s="53">
        <f t="shared" si="314"/>
        <v>0</v>
      </c>
      <c r="AL266" s="53">
        <f t="shared" si="315"/>
        <v>0</v>
      </c>
      <c r="AN266" s="53">
        <v>21</v>
      </c>
      <c r="AO266" s="53">
        <f>G266*0.766001052</f>
        <v>0</v>
      </c>
      <c r="AP266" s="53">
        <f>G266*(1-0.766001052)</f>
        <v>0</v>
      </c>
      <c r="AQ266" s="54" t="s">
        <v>134</v>
      </c>
      <c r="AV266" s="53">
        <f t="shared" si="316"/>
        <v>0</v>
      </c>
      <c r="AW266" s="53">
        <f t="shared" si="317"/>
        <v>0</v>
      </c>
      <c r="AX266" s="53">
        <f t="shared" si="318"/>
        <v>0</v>
      </c>
      <c r="AY266" s="54" t="s">
        <v>863</v>
      </c>
      <c r="AZ266" s="54" t="s">
        <v>864</v>
      </c>
      <c r="BA266" s="36" t="s">
        <v>116</v>
      </c>
      <c r="BC266" s="53">
        <f t="shared" si="319"/>
        <v>0</v>
      </c>
      <c r="BD266" s="53">
        <f t="shared" si="320"/>
        <v>0</v>
      </c>
      <c r="BE266" s="53">
        <v>0</v>
      </c>
      <c r="BF266" s="53">
        <f>266</f>
        <v>266</v>
      </c>
      <c r="BH266" s="53">
        <f t="shared" si="321"/>
        <v>0</v>
      </c>
      <c r="BI266" s="53">
        <f t="shared" si="322"/>
        <v>0</v>
      </c>
      <c r="BJ266" s="53">
        <f t="shared" si="323"/>
        <v>0</v>
      </c>
      <c r="BK266" s="54" t="s">
        <v>117</v>
      </c>
      <c r="BL266" s="53">
        <v>781</v>
      </c>
      <c r="BW266" s="53">
        <v>21</v>
      </c>
      <c r="BX266" s="3" t="s">
        <v>873</v>
      </c>
    </row>
    <row r="267" spans="1:76" ht="23" x14ac:dyDescent="0.35">
      <c r="A267" s="1" t="s">
        <v>874</v>
      </c>
      <c r="B267" s="2" t="s">
        <v>875</v>
      </c>
      <c r="C267" s="91" t="s">
        <v>876</v>
      </c>
      <c r="D267" s="88"/>
      <c r="E267" s="2" t="s">
        <v>113</v>
      </c>
      <c r="F267" s="53">
        <v>545</v>
      </c>
      <c r="G267" s="77">
        <v>0</v>
      </c>
      <c r="H267" s="53">
        <f t="shared" si="304"/>
        <v>0</v>
      </c>
      <c r="I267" s="79" t="s">
        <v>1688</v>
      </c>
      <c r="J267" s="49"/>
      <c r="Z267" s="53">
        <f t="shared" si="305"/>
        <v>0</v>
      </c>
      <c r="AB267" s="53">
        <f t="shared" si="306"/>
        <v>0</v>
      </c>
      <c r="AC267" s="53">
        <f t="shared" si="307"/>
        <v>0</v>
      </c>
      <c r="AD267" s="53">
        <f t="shared" si="308"/>
        <v>0</v>
      </c>
      <c r="AE267" s="53">
        <f t="shared" si="309"/>
        <v>0</v>
      </c>
      <c r="AF267" s="53">
        <f t="shared" si="310"/>
        <v>0</v>
      </c>
      <c r="AG267" s="53">
        <f t="shared" si="311"/>
        <v>0</v>
      </c>
      <c r="AH267" s="53">
        <f t="shared" si="312"/>
        <v>0</v>
      </c>
      <c r="AI267" s="36" t="s">
        <v>10</v>
      </c>
      <c r="AJ267" s="53">
        <f t="shared" si="313"/>
        <v>0</v>
      </c>
      <c r="AK267" s="53">
        <f t="shared" si="314"/>
        <v>0</v>
      </c>
      <c r="AL267" s="53">
        <f t="shared" si="315"/>
        <v>0</v>
      </c>
      <c r="AN267" s="53">
        <v>21</v>
      </c>
      <c r="AO267" s="53">
        <f>G267*0.311343708</f>
        <v>0</v>
      </c>
      <c r="AP267" s="53">
        <f>G267*(1-0.311343708)</f>
        <v>0</v>
      </c>
      <c r="AQ267" s="54" t="s">
        <v>134</v>
      </c>
      <c r="AV267" s="53">
        <f t="shared" si="316"/>
        <v>0</v>
      </c>
      <c r="AW267" s="53">
        <f t="shared" si="317"/>
        <v>0</v>
      </c>
      <c r="AX267" s="53">
        <f t="shared" si="318"/>
        <v>0</v>
      </c>
      <c r="AY267" s="54" t="s">
        <v>863</v>
      </c>
      <c r="AZ267" s="54" t="s">
        <v>864</v>
      </c>
      <c r="BA267" s="36" t="s">
        <v>116</v>
      </c>
      <c r="BC267" s="53">
        <f t="shared" si="319"/>
        <v>0</v>
      </c>
      <c r="BD267" s="53">
        <f t="shared" si="320"/>
        <v>0</v>
      </c>
      <c r="BE267" s="53">
        <v>0</v>
      </c>
      <c r="BF267" s="53">
        <f>267</f>
        <v>267</v>
      </c>
      <c r="BH267" s="53">
        <f t="shared" si="321"/>
        <v>0</v>
      </c>
      <c r="BI267" s="53">
        <f t="shared" si="322"/>
        <v>0</v>
      </c>
      <c r="BJ267" s="53">
        <f t="shared" si="323"/>
        <v>0</v>
      </c>
      <c r="BK267" s="54" t="s">
        <v>117</v>
      </c>
      <c r="BL267" s="53">
        <v>781</v>
      </c>
      <c r="BW267" s="53">
        <v>21</v>
      </c>
      <c r="BX267" s="3" t="s">
        <v>876</v>
      </c>
    </row>
    <row r="268" spans="1:76" ht="23" x14ac:dyDescent="0.35">
      <c r="A268" s="1" t="s">
        <v>877</v>
      </c>
      <c r="B268" s="2" t="s">
        <v>878</v>
      </c>
      <c r="C268" s="91" t="s">
        <v>879</v>
      </c>
      <c r="D268" s="88"/>
      <c r="E268" s="2" t="s">
        <v>113</v>
      </c>
      <c r="F268" s="53">
        <v>100</v>
      </c>
      <c r="G268" s="77">
        <v>0</v>
      </c>
      <c r="H268" s="53">
        <f t="shared" si="304"/>
        <v>0</v>
      </c>
      <c r="I268" s="79" t="s">
        <v>1688</v>
      </c>
      <c r="J268" s="49"/>
      <c r="Z268" s="53">
        <f t="shared" si="305"/>
        <v>0</v>
      </c>
      <c r="AB268" s="53">
        <f t="shared" si="306"/>
        <v>0</v>
      </c>
      <c r="AC268" s="53">
        <f t="shared" si="307"/>
        <v>0</v>
      </c>
      <c r="AD268" s="53">
        <f t="shared" si="308"/>
        <v>0</v>
      </c>
      <c r="AE268" s="53">
        <f t="shared" si="309"/>
        <v>0</v>
      </c>
      <c r="AF268" s="53">
        <f t="shared" si="310"/>
        <v>0</v>
      </c>
      <c r="AG268" s="53">
        <f t="shared" si="311"/>
        <v>0</v>
      </c>
      <c r="AH268" s="53">
        <f t="shared" si="312"/>
        <v>0</v>
      </c>
      <c r="AI268" s="36" t="s">
        <v>10</v>
      </c>
      <c r="AJ268" s="53">
        <f t="shared" si="313"/>
        <v>0</v>
      </c>
      <c r="AK268" s="53">
        <f t="shared" si="314"/>
        <v>0</v>
      </c>
      <c r="AL268" s="53">
        <f t="shared" si="315"/>
        <v>0</v>
      </c>
      <c r="AN268" s="53">
        <v>21</v>
      </c>
      <c r="AO268" s="53">
        <f>G268*0</f>
        <v>0</v>
      </c>
      <c r="AP268" s="53">
        <f>G268*(1-0)</f>
        <v>0</v>
      </c>
      <c r="AQ268" s="54" t="s">
        <v>134</v>
      </c>
      <c r="AV268" s="53">
        <f t="shared" si="316"/>
        <v>0</v>
      </c>
      <c r="AW268" s="53">
        <f t="shared" si="317"/>
        <v>0</v>
      </c>
      <c r="AX268" s="53">
        <f t="shared" si="318"/>
        <v>0</v>
      </c>
      <c r="AY268" s="54" t="s">
        <v>863</v>
      </c>
      <c r="AZ268" s="54" t="s">
        <v>864</v>
      </c>
      <c r="BA268" s="36" t="s">
        <v>116</v>
      </c>
      <c r="BC268" s="53">
        <f t="shared" si="319"/>
        <v>0</v>
      </c>
      <c r="BD268" s="53">
        <f t="shared" si="320"/>
        <v>0</v>
      </c>
      <c r="BE268" s="53">
        <v>0</v>
      </c>
      <c r="BF268" s="53">
        <f>268</f>
        <v>268</v>
      </c>
      <c r="BH268" s="53">
        <f t="shared" si="321"/>
        <v>0</v>
      </c>
      <c r="BI268" s="53">
        <f t="shared" si="322"/>
        <v>0</v>
      </c>
      <c r="BJ268" s="53">
        <f t="shared" si="323"/>
        <v>0</v>
      </c>
      <c r="BK268" s="54" t="s">
        <v>117</v>
      </c>
      <c r="BL268" s="53">
        <v>781</v>
      </c>
      <c r="BW268" s="53">
        <v>21</v>
      </c>
      <c r="BX268" s="3" t="s">
        <v>879</v>
      </c>
    </row>
    <row r="269" spans="1:76" ht="23" x14ac:dyDescent="0.35">
      <c r="A269" s="1" t="s">
        <v>880</v>
      </c>
      <c r="B269" s="2" t="s">
        <v>881</v>
      </c>
      <c r="C269" s="91" t="s">
        <v>882</v>
      </c>
      <c r="D269" s="88"/>
      <c r="E269" s="2" t="s">
        <v>113</v>
      </c>
      <c r="F269" s="53">
        <v>545</v>
      </c>
      <c r="G269" s="77">
        <v>0</v>
      </c>
      <c r="H269" s="53">
        <f t="shared" si="304"/>
        <v>0</v>
      </c>
      <c r="I269" s="79" t="s">
        <v>1688</v>
      </c>
      <c r="J269" s="49"/>
      <c r="Z269" s="53">
        <f t="shared" si="305"/>
        <v>0</v>
      </c>
      <c r="AB269" s="53">
        <f t="shared" si="306"/>
        <v>0</v>
      </c>
      <c r="AC269" s="53">
        <f t="shared" si="307"/>
        <v>0</v>
      </c>
      <c r="AD269" s="53">
        <f t="shared" si="308"/>
        <v>0</v>
      </c>
      <c r="AE269" s="53">
        <f t="shared" si="309"/>
        <v>0</v>
      </c>
      <c r="AF269" s="53">
        <f t="shared" si="310"/>
        <v>0</v>
      </c>
      <c r="AG269" s="53">
        <f t="shared" si="311"/>
        <v>0</v>
      </c>
      <c r="AH269" s="53">
        <f t="shared" si="312"/>
        <v>0</v>
      </c>
      <c r="AI269" s="36" t="s">
        <v>10</v>
      </c>
      <c r="AJ269" s="53">
        <f t="shared" si="313"/>
        <v>0</v>
      </c>
      <c r="AK269" s="53">
        <f t="shared" si="314"/>
        <v>0</v>
      </c>
      <c r="AL269" s="53">
        <f t="shared" si="315"/>
        <v>0</v>
      </c>
      <c r="AN269" s="53">
        <v>21</v>
      </c>
      <c r="AO269" s="53">
        <f>G269*0.999806371</f>
        <v>0</v>
      </c>
      <c r="AP269" s="53">
        <f>G269*(1-0.999806371)</f>
        <v>0</v>
      </c>
      <c r="AQ269" s="54" t="s">
        <v>134</v>
      </c>
      <c r="AV269" s="53">
        <f t="shared" si="316"/>
        <v>0</v>
      </c>
      <c r="AW269" s="53">
        <f t="shared" si="317"/>
        <v>0</v>
      </c>
      <c r="AX269" s="53">
        <f t="shared" si="318"/>
        <v>0</v>
      </c>
      <c r="AY269" s="54" t="s">
        <v>863</v>
      </c>
      <c r="AZ269" s="54" t="s">
        <v>864</v>
      </c>
      <c r="BA269" s="36" t="s">
        <v>116</v>
      </c>
      <c r="BC269" s="53">
        <f t="shared" si="319"/>
        <v>0</v>
      </c>
      <c r="BD269" s="53">
        <f t="shared" si="320"/>
        <v>0</v>
      </c>
      <c r="BE269" s="53">
        <v>0</v>
      </c>
      <c r="BF269" s="53">
        <f>269</f>
        <v>269</v>
      </c>
      <c r="BH269" s="53">
        <f t="shared" si="321"/>
        <v>0</v>
      </c>
      <c r="BI269" s="53">
        <f t="shared" si="322"/>
        <v>0</v>
      </c>
      <c r="BJ269" s="53">
        <f t="shared" si="323"/>
        <v>0</v>
      </c>
      <c r="BK269" s="54" t="s">
        <v>117</v>
      </c>
      <c r="BL269" s="53">
        <v>781</v>
      </c>
      <c r="BW269" s="53">
        <v>21</v>
      </c>
      <c r="BX269" s="3" t="s">
        <v>882</v>
      </c>
    </row>
    <row r="270" spans="1:76" ht="23" x14ac:dyDescent="0.35">
      <c r="A270" s="1" t="s">
        <v>883</v>
      </c>
      <c r="B270" s="2" t="s">
        <v>884</v>
      </c>
      <c r="C270" s="91" t="s">
        <v>885</v>
      </c>
      <c r="D270" s="88"/>
      <c r="E270" s="2" t="s">
        <v>113</v>
      </c>
      <c r="F270" s="53">
        <v>599.5</v>
      </c>
      <c r="G270" s="77">
        <v>0</v>
      </c>
      <c r="H270" s="53">
        <f t="shared" si="304"/>
        <v>0</v>
      </c>
      <c r="I270" s="79" t="s">
        <v>1688</v>
      </c>
      <c r="J270" s="49"/>
      <c r="Z270" s="53">
        <f t="shared" si="305"/>
        <v>0</v>
      </c>
      <c r="AB270" s="53">
        <f t="shared" si="306"/>
        <v>0</v>
      </c>
      <c r="AC270" s="53">
        <f t="shared" si="307"/>
        <v>0</v>
      </c>
      <c r="AD270" s="53">
        <f t="shared" si="308"/>
        <v>0</v>
      </c>
      <c r="AE270" s="53">
        <f t="shared" si="309"/>
        <v>0</v>
      </c>
      <c r="AF270" s="53">
        <f t="shared" si="310"/>
        <v>0</v>
      </c>
      <c r="AG270" s="53">
        <f t="shared" si="311"/>
        <v>0</v>
      </c>
      <c r="AH270" s="53">
        <f t="shared" si="312"/>
        <v>0</v>
      </c>
      <c r="AI270" s="36" t="s">
        <v>10</v>
      </c>
      <c r="AJ270" s="53">
        <f t="shared" si="313"/>
        <v>0</v>
      </c>
      <c r="AK270" s="53">
        <f t="shared" si="314"/>
        <v>0</v>
      </c>
      <c r="AL270" s="53">
        <f t="shared" si="315"/>
        <v>0</v>
      </c>
      <c r="AN270" s="53">
        <v>21</v>
      </c>
      <c r="AO270" s="53">
        <f>G270*1</f>
        <v>0</v>
      </c>
      <c r="AP270" s="53">
        <f>G270*(1-1)</f>
        <v>0</v>
      </c>
      <c r="AQ270" s="54" t="s">
        <v>134</v>
      </c>
      <c r="AV270" s="53">
        <f t="shared" si="316"/>
        <v>0</v>
      </c>
      <c r="AW270" s="53">
        <f t="shared" si="317"/>
        <v>0</v>
      </c>
      <c r="AX270" s="53">
        <f t="shared" si="318"/>
        <v>0</v>
      </c>
      <c r="AY270" s="54" t="s">
        <v>863</v>
      </c>
      <c r="AZ270" s="54" t="s">
        <v>864</v>
      </c>
      <c r="BA270" s="36" t="s">
        <v>116</v>
      </c>
      <c r="BC270" s="53">
        <f t="shared" si="319"/>
        <v>0</v>
      </c>
      <c r="BD270" s="53">
        <f t="shared" si="320"/>
        <v>0</v>
      </c>
      <c r="BE270" s="53">
        <v>0</v>
      </c>
      <c r="BF270" s="53">
        <f>270</f>
        <v>270</v>
      </c>
      <c r="BH270" s="53">
        <f t="shared" si="321"/>
        <v>0</v>
      </c>
      <c r="BI270" s="53">
        <f t="shared" si="322"/>
        <v>0</v>
      </c>
      <c r="BJ270" s="53">
        <f t="shared" si="323"/>
        <v>0</v>
      </c>
      <c r="BK270" s="54" t="s">
        <v>733</v>
      </c>
      <c r="BL270" s="53">
        <v>781</v>
      </c>
      <c r="BW270" s="53">
        <v>21</v>
      </c>
      <c r="BX270" s="3" t="s">
        <v>885</v>
      </c>
    </row>
    <row r="271" spans="1:76" ht="23" x14ac:dyDescent="0.35">
      <c r="A271" s="1" t="s">
        <v>886</v>
      </c>
      <c r="B271" s="2" t="s">
        <v>887</v>
      </c>
      <c r="C271" s="91" t="s">
        <v>888</v>
      </c>
      <c r="D271" s="88"/>
      <c r="E271" s="2" t="s">
        <v>137</v>
      </c>
      <c r="F271" s="53">
        <v>56</v>
      </c>
      <c r="G271" s="77">
        <v>0</v>
      </c>
      <c r="H271" s="53">
        <f t="shared" si="304"/>
        <v>0</v>
      </c>
      <c r="I271" s="79" t="s">
        <v>1688</v>
      </c>
      <c r="J271" s="49"/>
      <c r="Z271" s="53">
        <f t="shared" si="305"/>
        <v>0</v>
      </c>
      <c r="AB271" s="53">
        <f t="shared" si="306"/>
        <v>0</v>
      </c>
      <c r="AC271" s="53">
        <f t="shared" si="307"/>
        <v>0</v>
      </c>
      <c r="AD271" s="53">
        <f t="shared" si="308"/>
        <v>0</v>
      </c>
      <c r="AE271" s="53">
        <f t="shared" si="309"/>
        <v>0</v>
      </c>
      <c r="AF271" s="53">
        <f t="shared" si="310"/>
        <v>0</v>
      </c>
      <c r="AG271" s="53">
        <f t="shared" si="311"/>
        <v>0</v>
      </c>
      <c r="AH271" s="53">
        <f t="shared" si="312"/>
        <v>0</v>
      </c>
      <c r="AI271" s="36" t="s">
        <v>10</v>
      </c>
      <c r="AJ271" s="53">
        <f t="shared" si="313"/>
        <v>0</v>
      </c>
      <c r="AK271" s="53">
        <f t="shared" si="314"/>
        <v>0</v>
      </c>
      <c r="AL271" s="53">
        <f t="shared" si="315"/>
        <v>0</v>
      </c>
      <c r="AN271" s="53">
        <v>21</v>
      </c>
      <c r="AO271" s="53">
        <f>G271*0.760797972</f>
        <v>0</v>
      </c>
      <c r="AP271" s="53">
        <f>G271*(1-0.760797972)</f>
        <v>0</v>
      </c>
      <c r="AQ271" s="54" t="s">
        <v>134</v>
      </c>
      <c r="AV271" s="53">
        <f t="shared" si="316"/>
        <v>0</v>
      </c>
      <c r="AW271" s="53">
        <f t="shared" si="317"/>
        <v>0</v>
      </c>
      <c r="AX271" s="53">
        <f t="shared" si="318"/>
        <v>0</v>
      </c>
      <c r="AY271" s="54" t="s">
        <v>863</v>
      </c>
      <c r="AZ271" s="54" t="s">
        <v>864</v>
      </c>
      <c r="BA271" s="36" t="s">
        <v>116</v>
      </c>
      <c r="BC271" s="53">
        <f t="shared" si="319"/>
        <v>0</v>
      </c>
      <c r="BD271" s="53">
        <f t="shared" si="320"/>
        <v>0</v>
      </c>
      <c r="BE271" s="53">
        <v>0</v>
      </c>
      <c r="BF271" s="53">
        <f>271</f>
        <v>271</v>
      </c>
      <c r="BH271" s="53">
        <f t="shared" si="321"/>
        <v>0</v>
      </c>
      <c r="BI271" s="53">
        <f t="shared" si="322"/>
        <v>0</v>
      </c>
      <c r="BJ271" s="53">
        <f t="shared" si="323"/>
        <v>0</v>
      </c>
      <c r="BK271" s="54" t="s">
        <v>117</v>
      </c>
      <c r="BL271" s="53">
        <v>781</v>
      </c>
      <c r="BW271" s="53">
        <v>21</v>
      </c>
      <c r="BX271" s="3" t="s">
        <v>888</v>
      </c>
    </row>
    <row r="272" spans="1:76" ht="14.5" x14ac:dyDescent="0.35">
      <c r="A272" s="50" t="s">
        <v>10</v>
      </c>
      <c r="B272" s="51" t="s">
        <v>889</v>
      </c>
      <c r="C272" s="172" t="s">
        <v>890</v>
      </c>
      <c r="D272" s="173"/>
      <c r="E272" s="52" t="s">
        <v>75</v>
      </c>
      <c r="F272" s="52" t="s">
        <v>75</v>
      </c>
      <c r="G272" s="52" t="s">
        <v>75</v>
      </c>
      <c r="H272" s="28">
        <f>SUM(H273:H280)</f>
        <v>0</v>
      </c>
      <c r="I272" s="36" t="s">
        <v>10</v>
      </c>
      <c r="J272" s="49"/>
      <c r="AI272" s="36" t="s">
        <v>10</v>
      </c>
      <c r="AS272" s="28">
        <f>SUM(AJ273:AJ280)</f>
        <v>0</v>
      </c>
      <c r="AT272" s="28">
        <f>SUM(AK273:AK280)</f>
        <v>0</v>
      </c>
      <c r="AU272" s="28">
        <f>SUM(AL273:AL280)</f>
        <v>0</v>
      </c>
    </row>
    <row r="273" spans="1:76" ht="23" x14ac:dyDescent="0.35">
      <c r="A273" s="1" t="s">
        <v>891</v>
      </c>
      <c r="B273" s="2" t="s">
        <v>892</v>
      </c>
      <c r="C273" s="91" t="s">
        <v>893</v>
      </c>
      <c r="D273" s="88"/>
      <c r="E273" s="2" t="s">
        <v>113</v>
      </c>
      <c r="F273" s="53">
        <v>176</v>
      </c>
      <c r="G273" s="77">
        <v>0</v>
      </c>
      <c r="H273" s="53">
        <f t="shared" ref="H273:H280" si="324">ROUND(F273*G273,2)</f>
        <v>0</v>
      </c>
      <c r="I273" s="79" t="s">
        <v>1688</v>
      </c>
      <c r="J273" s="49"/>
      <c r="Z273" s="53">
        <f t="shared" ref="Z273:Z280" si="325">ROUND(IF(AQ273="5",BJ273,0),2)</f>
        <v>0</v>
      </c>
      <c r="AB273" s="53">
        <f t="shared" ref="AB273:AB280" si="326">ROUND(IF(AQ273="1",BH273,0),2)</f>
        <v>0</v>
      </c>
      <c r="AC273" s="53">
        <f t="shared" ref="AC273:AC280" si="327">ROUND(IF(AQ273="1",BI273,0),2)</f>
        <v>0</v>
      </c>
      <c r="AD273" s="53">
        <f t="shared" ref="AD273:AD280" si="328">ROUND(IF(AQ273="7",BH273,0),2)</f>
        <v>0</v>
      </c>
      <c r="AE273" s="53">
        <f t="shared" ref="AE273:AE280" si="329">ROUND(IF(AQ273="7",BI273,0),2)</f>
        <v>0</v>
      </c>
      <c r="AF273" s="53">
        <f t="shared" ref="AF273:AF280" si="330">ROUND(IF(AQ273="2",BH273,0),2)</f>
        <v>0</v>
      </c>
      <c r="AG273" s="53">
        <f t="shared" ref="AG273:AG280" si="331">ROUND(IF(AQ273="2",BI273,0),2)</f>
        <v>0</v>
      </c>
      <c r="AH273" s="53">
        <f t="shared" ref="AH273:AH280" si="332">ROUND(IF(AQ273="0",BJ273,0),2)</f>
        <v>0</v>
      </c>
      <c r="AI273" s="36" t="s">
        <v>10</v>
      </c>
      <c r="AJ273" s="53">
        <f t="shared" ref="AJ273:AJ280" si="333">IF(AN273=0,H273,0)</f>
        <v>0</v>
      </c>
      <c r="AK273" s="53">
        <f t="shared" ref="AK273:AK280" si="334">IF(AN273=12,H273,0)</f>
        <v>0</v>
      </c>
      <c r="AL273" s="53">
        <f t="shared" ref="AL273:AL280" si="335">IF(AN273=21,H273,0)</f>
        <v>0</v>
      </c>
      <c r="AN273" s="53">
        <v>21</v>
      </c>
      <c r="AO273" s="53">
        <f>G273*0.56267644</f>
        <v>0</v>
      </c>
      <c r="AP273" s="53">
        <f>G273*(1-0.56267644)</f>
        <v>0</v>
      </c>
      <c r="AQ273" s="54" t="s">
        <v>134</v>
      </c>
      <c r="AV273" s="53">
        <f t="shared" ref="AV273:AV280" si="336">ROUND(AW273+AX273,2)</f>
        <v>0</v>
      </c>
      <c r="AW273" s="53">
        <f t="shared" ref="AW273:AW280" si="337">ROUND(F273*AO273,2)</f>
        <v>0</v>
      </c>
      <c r="AX273" s="53">
        <f t="shared" ref="AX273:AX280" si="338">ROUND(F273*AP273,2)</f>
        <v>0</v>
      </c>
      <c r="AY273" s="54" t="s">
        <v>894</v>
      </c>
      <c r="AZ273" s="54" t="s">
        <v>864</v>
      </c>
      <c r="BA273" s="36" t="s">
        <v>116</v>
      </c>
      <c r="BC273" s="53">
        <f t="shared" ref="BC273:BC280" si="339">AW273+AX273</f>
        <v>0</v>
      </c>
      <c r="BD273" s="53">
        <f t="shared" ref="BD273:BD280" si="340">G273/(100-BE273)*100</f>
        <v>0</v>
      </c>
      <c r="BE273" s="53">
        <v>0</v>
      </c>
      <c r="BF273" s="53">
        <f>273</f>
        <v>273</v>
      </c>
      <c r="BH273" s="53">
        <f t="shared" ref="BH273:BH280" si="341">F273*AO273</f>
        <v>0</v>
      </c>
      <c r="BI273" s="53">
        <f t="shared" ref="BI273:BI280" si="342">F273*AP273</f>
        <v>0</v>
      </c>
      <c r="BJ273" s="53">
        <f t="shared" ref="BJ273:BJ280" si="343">F273*G273</f>
        <v>0</v>
      </c>
      <c r="BK273" s="54" t="s">
        <v>117</v>
      </c>
      <c r="BL273" s="53">
        <v>783</v>
      </c>
      <c r="BW273" s="53">
        <v>21</v>
      </c>
      <c r="BX273" s="3" t="s">
        <v>893</v>
      </c>
    </row>
    <row r="274" spans="1:76" ht="23" x14ac:dyDescent="0.35">
      <c r="A274" s="1" t="s">
        <v>895</v>
      </c>
      <c r="B274" s="2" t="s">
        <v>896</v>
      </c>
      <c r="C274" s="91" t="s">
        <v>897</v>
      </c>
      <c r="D274" s="88"/>
      <c r="E274" s="2" t="s">
        <v>113</v>
      </c>
      <c r="F274" s="53">
        <v>29</v>
      </c>
      <c r="G274" s="77">
        <v>0</v>
      </c>
      <c r="H274" s="53">
        <f t="shared" si="324"/>
        <v>0</v>
      </c>
      <c r="I274" s="79" t="s">
        <v>1688</v>
      </c>
      <c r="J274" s="49"/>
      <c r="Z274" s="53">
        <f t="shared" si="325"/>
        <v>0</v>
      </c>
      <c r="AB274" s="53">
        <f t="shared" si="326"/>
        <v>0</v>
      </c>
      <c r="AC274" s="53">
        <f t="shared" si="327"/>
        <v>0</v>
      </c>
      <c r="AD274" s="53">
        <f t="shared" si="328"/>
        <v>0</v>
      </c>
      <c r="AE274" s="53">
        <f t="shared" si="329"/>
        <v>0</v>
      </c>
      <c r="AF274" s="53">
        <f t="shared" si="330"/>
        <v>0</v>
      </c>
      <c r="AG274" s="53">
        <f t="shared" si="331"/>
        <v>0</v>
      </c>
      <c r="AH274" s="53">
        <f t="shared" si="332"/>
        <v>0</v>
      </c>
      <c r="AI274" s="36" t="s">
        <v>10</v>
      </c>
      <c r="AJ274" s="53">
        <f t="shared" si="333"/>
        <v>0</v>
      </c>
      <c r="AK274" s="53">
        <f t="shared" si="334"/>
        <v>0</v>
      </c>
      <c r="AL274" s="53">
        <f t="shared" si="335"/>
        <v>0</v>
      </c>
      <c r="AN274" s="53">
        <v>21</v>
      </c>
      <c r="AO274" s="53">
        <f>G274*0.783656206</f>
        <v>0</v>
      </c>
      <c r="AP274" s="53">
        <f>G274*(1-0.783656206)</f>
        <v>0</v>
      </c>
      <c r="AQ274" s="54" t="s">
        <v>134</v>
      </c>
      <c r="AV274" s="53">
        <f t="shared" si="336"/>
        <v>0</v>
      </c>
      <c r="AW274" s="53">
        <f t="shared" si="337"/>
        <v>0</v>
      </c>
      <c r="AX274" s="53">
        <f t="shared" si="338"/>
        <v>0</v>
      </c>
      <c r="AY274" s="54" t="s">
        <v>894</v>
      </c>
      <c r="AZ274" s="54" t="s">
        <v>864</v>
      </c>
      <c r="BA274" s="36" t="s">
        <v>116</v>
      </c>
      <c r="BC274" s="53">
        <f t="shared" si="339"/>
        <v>0</v>
      </c>
      <c r="BD274" s="53">
        <f t="shared" si="340"/>
        <v>0</v>
      </c>
      <c r="BE274" s="53">
        <v>0</v>
      </c>
      <c r="BF274" s="53">
        <f>274</f>
        <v>274</v>
      </c>
      <c r="BH274" s="53">
        <f t="shared" si="341"/>
        <v>0</v>
      </c>
      <c r="BI274" s="53">
        <f t="shared" si="342"/>
        <v>0</v>
      </c>
      <c r="BJ274" s="53">
        <f t="shared" si="343"/>
        <v>0</v>
      </c>
      <c r="BK274" s="54" t="s">
        <v>117</v>
      </c>
      <c r="BL274" s="53">
        <v>783</v>
      </c>
      <c r="BW274" s="53">
        <v>21</v>
      </c>
      <c r="BX274" s="3" t="s">
        <v>897</v>
      </c>
    </row>
    <row r="275" spans="1:76" ht="23" x14ac:dyDescent="0.35">
      <c r="A275" s="1" t="s">
        <v>898</v>
      </c>
      <c r="B275" s="2" t="s">
        <v>899</v>
      </c>
      <c r="C275" s="91" t="s">
        <v>900</v>
      </c>
      <c r="D275" s="88"/>
      <c r="E275" s="2" t="s">
        <v>113</v>
      </c>
      <c r="F275" s="53">
        <v>2.16</v>
      </c>
      <c r="G275" s="77">
        <v>0</v>
      </c>
      <c r="H275" s="53">
        <f t="shared" si="324"/>
        <v>0</v>
      </c>
      <c r="I275" s="79" t="s">
        <v>1688</v>
      </c>
      <c r="J275" s="49"/>
      <c r="Z275" s="53">
        <f t="shared" si="325"/>
        <v>0</v>
      </c>
      <c r="AB275" s="53">
        <f t="shared" si="326"/>
        <v>0</v>
      </c>
      <c r="AC275" s="53">
        <f t="shared" si="327"/>
        <v>0</v>
      </c>
      <c r="AD275" s="53">
        <f t="shared" si="328"/>
        <v>0</v>
      </c>
      <c r="AE275" s="53">
        <f t="shared" si="329"/>
        <v>0</v>
      </c>
      <c r="AF275" s="53">
        <f t="shared" si="330"/>
        <v>0</v>
      </c>
      <c r="AG275" s="53">
        <f t="shared" si="331"/>
        <v>0</v>
      </c>
      <c r="AH275" s="53">
        <f t="shared" si="332"/>
        <v>0</v>
      </c>
      <c r="AI275" s="36" t="s">
        <v>10</v>
      </c>
      <c r="AJ275" s="53">
        <f t="shared" si="333"/>
        <v>0</v>
      </c>
      <c r="AK275" s="53">
        <f t="shared" si="334"/>
        <v>0</v>
      </c>
      <c r="AL275" s="53">
        <f t="shared" si="335"/>
        <v>0</v>
      </c>
      <c r="AN275" s="53">
        <v>21</v>
      </c>
      <c r="AO275" s="53">
        <f>G275*0.292915452</f>
        <v>0</v>
      </c>
      <c r="AP275" s="53">
        <f>G275*(1-0.292915452)</f>
        <v>0</v>
      </c>
      <c r="AQ275" s="54" t="s">
        <v>134</v>
      </c>
      <c r="AV275" s="53">
        <f t="shared" si="336"/>
        <v>0</v>
      </c>
      <c r="AW275" s="53">
        <f t="shared" si="337"/>
        <v>0</v>
      </c>
      <c r="AX275" s="53">
        <f t="shared" si="338"/>
        <v>0</v>
      </c>
      <c r="AY275" s="54" t="s">
        <v>894</v>
      </c>
      <c r="AZ275" s="54" t="s">
        <v>864</v>
      </c>
      <c r="BA275" s="36" t="s">
        <v>116</v>
      </c>
      <c r="BC275" s="53">
        <f t="shared" si="339"/>
        <v>0</v>
      </c>
      <c r="BD275" s="53">
        <f t="shared" si="340"/>
        <v>0</v>
      </c>
      <c r="BE275" s="53">
        <v>0</v>
      </c>
      <c r="BF275" s="53">
        <f>275</f>
        <v>275</v>
      </c>
      <c r="BH275" s="53">
        <f t="shared" si="341"/>
        <v>0</v>
      </c>
      <c r="BI275" s="53">
        <f t="shared" si="342"/>
        <v>0</v>
      </c>
      <c r="BJ275" s="53">
        <f t="shared" si="343"/>
        <v>0</v>
      </c>
      <c r="BK275" s="54" t="s">
        <v>117</v>
      </c>
      <c r="BL275" s="53">
        <v>783</v>
      </c>
      <c r="BW275" s="53">
        <v>21</v>
      </c>
      <c r="BX275" s="3" t="s">
        <v>900</v>
      </c>
    </row>
    <row r="276" spans="1:76" ht="23" x14ac:dyDescent="0.35">
      <c r="A276" s="1" t="s">
        <v>901</v>
      </c>
      <c r="B276" s="2" t="s">
        <v>902</v>
      </c>
      <c r="C276" s="91" t="s">
        <v>903</v>
      </c>
      <c r="D276" s="88"/>
      <c r="E276" s="2" t="s">
        <v>113</v>
      </c>
      <c r="F276" s="53">
        <v>2.1</v>
      </c>
      <c r="G276" s="77">
        <v>0</v>
      </c>
      <c r="H276" s="53">
        <f t="shared" si="324"/>
        <v>0</v>
      </c>
      <c r="I276" s="79" t="s">
        <v>1688</v>
      </c>
      <c r="J276" s="49"/>
      <c r="Z276" s="53">
        <f t="shared" si="325"/>
        <v>0</v>
      </c>
      <c r="AB276" s="53">
        <f t="shared" si="326"/>
        <v>0</v>
      </c>
      <c r="AC276" s="53">
        <f t="shared" si="327"/>
        <v>0</v>
      </c>
      <c r="AD276" s="53">
        <f t="shared" si="328"/>
        <v>0</v>
      </c>
      <c r="AE276" s="53">
        <f t="shared" si="329"/>
        <v>0</v>
      </c>
      <c r="AF276" s="53">
        <f t="shared" si="330"/>
        <v>0</v>
      </c>
      <c r="AG276" s="53">
        <f t="shared" si="331"/>
        <v>0</v>
      </c>
      <c r="AH276" s="53">
        <f t="shared" si="332"/>
        <v>0</v>
      </c>
      <c r="AI276" s="36" t="s">
        <v>10</v>
      </c>
      <c r="AJ276" s="53">
        <f t="shared" si="333"/>
        <v>0</v>
      </c>
      <c r="AK276" s="53">
        <f t="shared" si="334"/>
        <v>0</v>
      </c>
      <c r="AL276" s="53">
        <f t="shared" si="335"/>
        <v>0</v>
      </c>
      <c r="AN276" s="53">
        <v>21</v>
      </c>
      <c r="AO276" s="53">
        <f>G276*0.486512301</f>
        <v>0</v>
      </c>
      <c r="AP276" s="53">
        <f>G276*(1-0.486512301)</f>
        <v>0</v>
      </c>
      <c r="AQ276" s="54" t="s">
        <v>134</v>
      </c>
      <c r="AV276" s="53">
        <f t="shared" si="336"/>
        <v>0</v>
      </c>
      <c r="AW276" s="53">
        <f t="shared" si="337"/>
        <v>0</v>
      </c>
      <c r="AX276" s="53">
        <f t="shared" si="338"/>
        <v>0</v>
      </c>
      <c r="AY276" s="54" t="s">
        <v>894</v>
      </c>
      <c r="AZ276" s="54" t="s">
        <v>864</v>
      </c>
      <c r="BA276" s="36" t="s">
        <v>116</v>
      </c>
      <c r="BC276" s="53">
        <f t="shared" si="339"/>
        <v>0</v>
      </c>
      <c r="BD276" s="53">
        <f t="shared" si="340"/>
        <v>0</v>
      </c>
      <c r="BE276" s="53">
        <v>0</v>
      </c>
      <c r="BF276" s="53">
        <f>276</f>
        <v>276</v>
      </c>
      <c r="BH276" s="53">
        <f t="shared" si="341"/>
        <v>0</v>
      </c>
      <c r="BI276" s="53">
        <f t="shared" si="342"/>
        <v>0</v>
      </c>
      <c r="BJ276" s="53">
        <f t="shared" si="343"/>
        <v>0</v>
      </c>
      <c r="BK276" s="54" t="s">
        <v>117</v>
      </c>
      <c r="BL276" s="53">
        <v>783</v>
      </c>
      <c r="BW276" s="53">
        <v>21</v>
      </c>
      <c r="BX276" s="3" t="s">
        <v>903</v>
      </c>
    </row>
    <row r="277" spans="1:76" ht="23" x14ac:dyDescent="0.35">
      <c r="A277" s="1" t="s">
        <v>904</v>
      </c>
      <c r="B277" s="2" t="s">
        <v>905</v>
      </c>
      <c r="C277" s="91" t="s">
        <v>906</v>
      </c>
      <c r="D277" s="88"/>
      <c r="E277" s="2" t="s">
        <v>434</v>
      </c>
      <c r="F277" s="53">
        <v>31</v>
      </c>
      <c r="G277" s="77">
        <v>0</v>
      </c>
      <c r="H277" s="53">
        <f t="shared" si="324"/>
        <v>0</v>
      </c>
      <c r="I277" s="79" t="s">
        <v>1688</v>
      </c>
      <c r="J277" s="49"/>
      <c r="Z277" s="53">
        <f t="shared" si="325"/>
        <v>0</v>
      </c>
      <c r="AB277" s="53">
        <f t="shared" si="326"/>
        <v>0</v>
      </c>
      <c r="AC277" s="53">
        <f t="shared" si="327"/>
        <v>0</v>
      </c>
      <c r="AD277" s="53">
        <f t="shared" si="328"/>
        <v>0</v>
      </c>
      <c r="AE277" s="53">
        <f t="shared" si="329"/>
        <v>0</v>
      </c>
      <c r="AF277" s="53">
        <f t="shared" si="330"/>
        <v>0</v>
      </c>
      <c r="AG277" s="53">
        <f t="shared" si="331"/>
        <v>0</v>
      </c>
      <c r="AH277" s="53">
        <f t="shared" si="332"/>
        <v>0</v>
      </c>
      <c r="AI277" s="36" t="s">
        <v>10</v>
      </c>
      <c r="AJ277" s="53">
        <f t="shared" si="333"/>
        <v>0</v>
      </c>
      <c r="AK277" s="53">
        <f t="shared" si="334"/>
        <v>0</v>
      </c>
      <c r="AL277" s="53">
        <f t="shared" si="335"/>
        <v>0</v>
      </c>
      <c r="AN277" s="53">
        <v>21</v>
      </c>
      <c r="AO277" s="53">
        <f>G277*0.460514178</f>
        <v>0</v>
      </c>
      <c r="AP277" s="53">
        <f>G277*(1-0.460514178)</f>
        <v>0</v>
      </c>
      <c r="AQ277" s="54" t="s">
        <v>134</v>
      </c>
      <c r="AV277" s="53">
        <f t="shared" si="336"/>
        <v>0</v>
      </c>
      <c r="AW277" s="53">
        <f t="shared" si="337"/>
        <v>0</v>
      </c>
      <c r="AX277" s="53">
        <f t="shared" si="338"/>
        <v>0</v>
      </c>
      <c r="AY277" s="54" t="s">
        <v>894</v>
      </c>
      <c r="AZ277" s="54" t="s">
        <v>864</v>
      </c>
      <c r="BA277" s="36" t="s">
        <v>116</v>
      </c>
      <c r="BC277" s="53">
        <f t="shared" si="339"/>
        <v>0</v>
      </c>
      <c r="BD277" s="53">
        <f t="shared" si="340"/>
        <v>0</v>
      </c>
      <c r="BE277" s="53">
        <v>0</v>
      </c>
      <c r="BF277" s="53">
        <f>277</f>
        <v>277</v>
      </c>
      <c r="BH277" s="53">
        <f t="shared" si="341"/>
        <v>0</v>
      </c>
      <c r="BI277" s="53">
        <f t="shared" si="342"/>
        <v>0</v>
      </c>
      <c r="BJ277" s="53">
        <f t="shared" si="343"/>
        <v>0</v>
      </c>
      <c r="BK277" s="54" t="s">
        <v>117</v>
      </c>
      <c r="BL277" s="53">
        <v>783</v>
      </c>
      <c r="BW277" s="53">
        <v>21</v>
      </c>
      <c r="BX277" s="3" t="s">
        <v>906</v>
      </c>
    </row>
    <row r="278" spans="1:76" ht="23" x14ac:dyDescent="0.35">
      <c r="A278" s="1" t="s">
        <v>907</v>
      </c>
      <c r="B278" s="2" t="s">
        <v>908</v>
      </c>
      <c r="C278" s="91" t="s">
        <v>909</v>
      </c>
      <c r="D278" s="88"/>
      <c r="E278" s="2" t="s">
        <v>137</v>
      </c>
      <c r="F278" s="53">
        <v>128</v>
      </c>
      <c r="G278" s="77">
        <v>0</v>
      </c>
      <c r="H278" s="53">
        <f t="shared" si="324"/>
        <v>0</v>
      </c>
      <c r="I278" s="79" t="s">
        <v>1688</v>
      </c>
      <c r="J278" s="49"/>
      <c r="Z278" s="53">
        <f t="shared" si="325"/>
        <v>0</v>
      </c>
      <c r="AB278" s="53">
        <f t="shared" si="326"/>
        <v>0</v>
      </c>
      <c r="AC278" s="53">
        <f t="shared" si="327"/>
        <v>0</v>
      </c>
      <c r="AD278" s="53">
        <f t="shared" si="328"/>
        <v>0</v>
      </c>
      <c r="AE278" s="53">
        <f t="shared" si="329"/>
        <v>0</v>
      </c>
      <c r="AF278" s="53">
        <f t="shared" si="330"/>
        <v>0</v>
      </c>
      <c r="AG278" s="53">
        <f t="shared" si="331"/>
        <v>0</v>
      </c>
      <c r="AH278" s="53">
        <f t="shared" si="332"/>
        <v>0</v>
      </c>
      <c r="AI278" s="36" t="s">
        <v>10</v>
      </c>
      <c r="AJ278" s="53">
        <f t="shared" si="333"/>
        <v>0</v>
      </c>
      <c r="AK278" s="53">
        <f t="shared" si="334"/>
        <v>0</v>
      </c>
      <c r="AL278" s="53">
        <f t="shared" si="335"/>
        <v>0</v>
      </c>
      <c r="AN278" s="53">
        <v>21</v>
      </c>
      <c r="AO278" s="53">
        <f>G278*0.227793891</f>
        <v>0</v>
      </c>
      <c r="AP278" s="53">
        <f>G278*(1-0.227793891)</f>
        <v>0</v>
      </c>
      <c r="AQ278" s="54" t="s">
        <v>134</v>
      </c>
      <c r="AV278" s="53">
        <f t="shared" si="336"/>
        <v>0</v>
      </c>
      <c r="AW278" s="53">
        <f t="shared" si="337"/>
        <v>0</v>
      </c>
      <c r="AX278" s="53">
        <f t="shared" si="338"/>
        <v>0</v>
      </c>
      <c r="AY278" s="54" t="s">
        <v>894</v>
      </c>
      <c r="AZ278" s="54" t="s">
        <v>864</v>
      </c>
      <c r="BA278" s="36" t="s">
        <v>116</v>
      </c>
      <c r="BC278" s="53">
        <f t="shared" si="339"/>
        <v>0</v>
      </c>
      <c r="BD278" s="53">
        <f t="shared" si="340"/>
        <v>0</v>
      </c>
      <c r="BE278" s="53">
        <v>0</v>
      </c>
      <c r="BF278" s="53">
        <f>278</f>
        <v>278</v>
      </c>
      <c r="BH278" s="53">
        <f t="shared" si="341"/>
        <v>0</v>
      </c>
      <c r="BI278" s="53">
        <f t="shared" si="342"/>
        <v>0</v>
      </c>
      <c r="BJ278" s="53">
        <f t="shared" si="343"/>
        <v>0</v>
      </c>
      <c r="BK278" s="54" t="s">
        <v>117</v>
      </c>
      <c r="BL278" s="53">
        <v>783</v>
      </c>
      <c r="BW278" s="53">
        <v>21</v>
      </c>
      <c r="BX278" s="3" t="s">
        <v>909</v>
      </c>
    </row>
    <row r="279" spans="1:76" ht="23" x14ac:dyDescent="0.35">
      <c r="A279" s="1" t="s">
        <v>910</v>
      </c>
      <c r="B279" s="2" t="s">
        <v>911</v>
      </c>
      <c r="C279" s="91" t="s">
        <v>912</v>
      </c>
      <c r="D279" s="88"/>
      <c r="E279" s="2" t="s">
        <v>137</v>
      </c>
      <c r="F279" s="53">
        <v>72</v>
      </c>
      <c r="G279" s="77">
        <v>0</v>
      </c>
      <c r="H279" s="53">
        <f t="shared" si="324"/>
        <v>0</v>
      </c>
      <c r="I279" s="79" t="s">
        <v>1688</v>
      </c>
      <c r="J279" s="49"/>
      <c r="Z279" s="53">
        <f t="shared" si="325"/>
        <v>0</v>
      </c>
      <c r="AB279" s="53">
        <f t="shared" si="326"/>
        <v>0</v>
      </c>
      <c r="AC279" s="53">
        <f t="shared" si="327"/>
        <v>0</v>
      </c>
      <c r="AD279" s="53">
        <f t="shared" si="328"/>
        <v>0</v>
      </c>
      <c r="AE279" s="53">
        <f t="shared" si="329"/>
        <v>0</v>
      </c>
      <c r="AF279" s="53">
        <f t="shared" si="330"/>
        <v>0</v>
      </c>
      <c r="AG279" s="53">
        <f t="shared" si="331"/>
        <v>0</v>
      </c>
      <c r="AH279" s="53">
        <f t="shared" si="332"/>
        <v>0</v>
      </c>
      <c r="AI279" s="36" t="s">
        <v>10</v>
      </c>
      <c r="AJ279" s="53">
        <f t="shared" si="333"/>
        <v>0</v>
      </c>
      <c r="AK279" s="53">
        <f t="shared" si="334"/>
        <v>0</v>
      </c>
      <c r="AL279" s="53">
        <f t="shared" si="335"/>
        <v>0</v>
      </c>
      <c r="AN279" s="53">
        <v>21</v>
      </c>
      <c r="AO279" s="53">
        <f>G279*0.108382353</f>
        <v>0</v>
      </c>
      <c r="AP279" s="53">
        <f>G279*(1-0.108382353)</f>
        <v>0</v>
      </c>
      <c r="AQ279" s="54" t="s">
        <v>134</v>
      </c>
      <c r="AV279" s="53">
        <f t="shared" si="336"/>
        <v>0</v>
      </c>
      <c r="AW279" s="53">
        <f t="shared" si="337"/>
        <v>0</v>
      </c>
      <c r="AX279" s="53">
        <f t="shared" si="338"/>
        <v>0</v>
      </c>
      <c r="AY279" s="54" t="s">
        <v>894</v>
      </c>
      <c r="AZ279" s="54" t="s">
        <v>864</v>
      </c>
      <c r="BA279" s="36" t="s">
        <v>116</v>
      </c>
      <c r="BC279" s="53">
        <f t="shared" si="339"/>
        <v>0</v>
      </c>
      <c r="BD279" s="53">
        <f t="shared" si="340"/>
        <v>0</v>
      </c>
      <c r="BE279" s="53">
        <v>0</v>
      </c>
      <c r="BF279" s="53">
        <f>279</f>
        <v>279</v>
      </c>
      <c r="BH279" s="53">
        <f t="shared" si="341"/>
        <v>0</v>
      </c>
      <c r="BI279" s="53">
        <f t="shared" si="342"/>
        <v>0</v>
      </c>
      <c r="BJ279" s="53">
        <f t="shared" si="343"/>
        <v>0</v>
      </c>
      <c r="BK279" s="54" t="s">
        <v>117</v>
      </c>
      <c r="BL279" s="53">
        <v>783</v>
      </c>
      <c r="BW279" s="53">
        <v>21</v>
      </c>
      <c r="BX279" s="3" t="s">
        <v>912</v>
      </c>
    </row>
    <row r="280" spans="1:76" ht="23" x14ac:dyDescent="0.35">
      <c r="A280" s="1" t="s">
        <v>913</v>
      </c>
      <c r="B280" s="2" t="s">
        <v>914</v>
      </c>
      <c r="C280" s="91" t="s">
        <v>915</v>
      </c>
      <c r="D280" s="88"/>
      <c r="E280" s="2" t="s">
        <v>434</v>
      </c>
      <c r="F280" s="53">
        <v>20</v>
      </c>
      <c r="G280" s="77">
        <v>0</v>
      </c>
      <c r="H280" s="53">
        <f t="shared" si="324"/>
        <v>0</v>
      </c>
      <c r="I280" s="79" t="s">
        <v>1688</v>
      </c>
      <c r="J280" s="49"/>
      <c r="Z280" s="53">
        <f t="shared" si="325"/>
        <v>0</v>
      </c>
      <c r="AB280" s="53">
        <f t="shared" si="326"/>
        <v>0</v>
      </c>
      <c r="AC280" s="53">
        <f t="shared" si="327"/>
        <v>0</v>
      </c>
      <c r="AD280" s="53">
        <f t="shared" si="328"/>
        <v>0</v>
      </c>
      <c r="AE280" s="53">
        <f t="shared" si="329"/>
        <v>0</v>
      </c>
      <c r="AF280" s="53">
        <f t="shared" si="330"/>
        <v>0</v>
      </c>
      <c r="AG280" s="53">
        <f t="shared" si="331"/>
        <v>0</v>
      </c>
      <c r="AH280" s="53">
        <f t="shared" si="332"/>
        <v>0</v>
      </c>
      <c r="AI280" s="36" t="s">
        <v>10</v>
      </c>
      <c r="AJ280" s="53">
        <f t="shared" si="333"/>
        <v>0</v>
      </c>
      <c r="AK280" s="53">
        <f t="shared" si="334"/>
        <v>0</v>
      </c>
      <c r="AL280" s="53">
        <f t="shared" si="335"/>
        <v>0</v>
      </c>
      <c r="AN280" s="53">
        <v>21</v>
      </c>
      <c r="AO280" s="53">
        <f>G280*0.383981273</f>
        <v>0</v>
      </c>
      <c r="AP280" s="53">
        <f>G280*(1-0.383981273)</f>
        <v>0</v>
      </c>
      <c r="AQ280" s="54" t="s">
        <v>134</v>
      </c>
      <c r="AV280" s="53">
        <f t="shared" si="336"/>
        <v>0</v>
      </c>
      <c r="AW280" s="53">
        <f t="shared" si="337"/>
        <v>0</v>
      </c>
      <c r="AX280" s="53">
        <f t="shared" si="338"/>
        <v>0</v>
      </c>
      <c r="AY280" s="54" t="s">
        <v>894</v>
      </c>
      <c r="AZ280" s="54" t="s">
        <v>864</v>
      </c>
      <c r="BA280" s="36" t="s">
        <v>116</v>
      </c>
      <c r="BC280" s="53">
        <f t="shared" si="339"/>
        <v>0</v>
      </c>
      <c r="BD280" s="53">
        <f t="shared" si="340"/>
        <v>0</v>
      </c>
      <c r="BE280" s="53">
        <v>0</v>
      </c>
      <c r="BF280" s="53">
        <f>280</f>
        <v>280</v>
      </c>
      <c r="BH280" s="53">
        <f t="shared" si="341"/>
        <v>0</v>
      </c>
      <c r="BI280" s="53">
        <f t="shared" si="342"/>
        <v>0</v>
      </c>
      <c r="BJ280" s="53">
        <f t="shared" si="343"/>
        <v>0</v>
      </c>
      <c r="BK280" s="54" t="s">
        <v>117</v>
      </c>
      <c r="BL280" s="53">
        <v>783</v>
      </c>
      <c r="BW280" s="53">
        <v>21</v>
      </c>
      <c r="BX280" s="3" t="s">
        <v>915</v>
      </c>
    </row>
    <row r="281" spans="1:76" ht="14.5" x14ac:dyDescent="0.35">
      <c r="A281" s="50" t="s">
        <v>10</v>
      </c>
      <c r="B281" s="51" t="s">
        <v>916</v>
      </c>
      <c r="C281" s="172" t="s">
        <v>917</v>
      </c>
      <c r="D281" s="173"/>
      <c r="E281" s="52" t="s">
        <v>75</v>
      </c>
      <c r="F281" s="52" t="s">
        <v>75</v>
      </c>
      <c r="G281" s="52" t="s">
        <v>75</v>
      </c>
      <c r="H281" s="28">
        <f>SUM(H282:H288)</f>
        <v>0</v>
      </c>
      <c r="I281" s="36" t="s">
        <v>10</v>
      </c>
      <c r="J281" s="49"/>
      <c r="AI281" s="36" t="s">
        <v>10</v>
      </c>
      <c r="AS281" s="28">
        <f>SUM(AJ282:AJ288)</f>
        <v>0</v>
      </c>
      <c r="AT281" s="28">
        <f>SUM(AK282:AK288)</f>
        <v>0</v>
      </c>
      <c r="AU281" s="28">
        <f>SUM(AL282:AL288)</f>
        <v>0</v>
      </c>
    </row>
    <row r="282" spans="1:76" ht="23" x14ac:dyDescent="0.35">
      <c r="A282" s="1" t="s">
        <v>918</v>
      </c>
      <c r="B282" s="2" t="s">
        <v>919</v>
      </c>
      <c r="C282" s="91" t="s">
        <v>920</v>
      </c>
      <c r="D282" s="88"/>
      <c r="E282" s="2" t="s">
        <v>113</v>
      </c>
      <c r="F282" s="53">
        <v>263.3</v>
      </c>
      <c r="G282" s="77">
        <v>0</v>
      </c>
      <c r="H282" s="53">
        <f t="shared" ref="H282:H288" si="344">ROUND(F282*G282,2)</f>
        <v>0</v>
      </c>
      <c r="I282" s="79" t="s">
        <v>1688</v>
      </c>
      <c r="J282" s="49"/>
      <c r="Z282" s="53">
        <f t="shared" ref="Z282:Z288" si="345">ROUND(IF(AQ282="5",BJ282,0),2)</f>
        <v>0</v>
      </c>
      <c r="AB282" s="53">
        <f t="shared" ref="AB282:AB288" si="346">ROUND(IF(AQ282="1",BH282,0),2)</f>
        <v>0</v>
      </c>
      <c r="AC282" s="53">
        <f t="shared" ref="AC282:AC288" si="347">ROUND(IF(AQ282="1",BI282,0),2)</f>
        <v>0</v>
      </c>
      <c r="AD282" s="53">
        <f t="shared" ref="AD282:AD288" si="348">ROUND(IF(AQ282="7",BH282,0),2)</f>
        <v>0</v>
      </c>
      <c r="AE282" s="53">
        <f t="shared" ref="AE282:AE288" si="349">ROUND(IF(AQ282="7",BI282,0),2)</f>
        <v>0</v>
      </c>
      <c r="AF282" s="53">
        <f t="shared" ref="AF282:AF288" si="350">ROUND(IF(AQ282="2",BH282,0),2)</f>
        <v>0</v>
      </c>
      <c r="AG282" s="53">
        <f t="shared" ref="AG282:AG288" si="351">ROUND(IF(AQ282="2",BI282,0),2)</f>
        <v>0</v>
      </c>
      <c r="AH282" s="53">
        <f t="shared" ref="AH282:AH288" si="352">ROUND(IF(AQ282="0",BJ282,0),2)</f>
        <v>0</v>
      </c>
      <c r="AI282" s="36" t="s">
        <v>10</v>
      </c>
      <c r="AJ282" s="53">
        <f t="shared" ref="AJ282:AJ288" si="353">IF(AN282=0,H282,0)</f>
        <v>0</v>
      </c>
      <c r="AK282" s="53">
        <f t="shared" ref="AK282:AK288" si="354">IF(AN282=12,H282,0)</f>
        <v>0</v>
      </c>
      <c r="AL282" s="53">
        <f t="shared" ref="AL282:AL288" si="355">IF(AN282=21,H282,0)</f>
        <v>0</v>
      </c>
      <c r="AN282" s="53">
        <v>21</v>
      </c>
      <c r="AO282" s="53">
        <f>G282*0.450711414</f>
        <v>0</v>
      </c>
      <c r="AP282" s="53">
        <f>G282*(1-0.450711414)</f>
        <v>0</v>
      </c>
      <c r="AQ282" s="54" t="s">
        <v>134</v>
      </c>
      <c r="AV282" s="53">
        <f t="shared" ref="AV282:AV288" si="356">ROUND(AW282+AX282,2)</f>
        <v>0</v>
      </c>
      <c r="AW282" s="53">
        <f t="shared" ref="AW282:AW288" si="357">ROUND(F282*AO282,2)</f>
        <v>0</v>
      </c>
      <c r="AX282" s="53">
        <f t="shared" ref="AX282:AX288" si="358">ROUND(F282*AP282,2)</f>
        <v>0</v>
      </c>
      <c r="AY282" s="54" t="s">
        <v>921</v>
      </c>
      <c r="AZ282" s="54" t="s">
        <v>864</v>
      </c>
      <c r="BA282" s="36" t="s">
        <v>116</v>
      </c>
      <c r="BC282" s="53">
        <f t="shared" ref="BC282:BC288" si="359">AW282+AX282</f>
        <v>0</v>
      </c>
      <c r="BD282" s="53">
        <f t="shared" ref="BD282:BD288" si="360">G282/(100-BE282)*100</f>
        <v>0</v>
      </c>
      <c r="BE282" s="53">
        <v>0</v>
      </c>
      <c r="BF282" s="53">
        <f>282</f>
        <v>282</v>
      </c>
      <c r="BH282" s="53">
        <f t="shared" ref="BH282:BH288" si="361">F282*AO282</f>
        <v>0</v>
      </c>
      <c r="BI282" s="53">
        <f t="shared" ref="BI282:BI288" si="362">F282*AP282</f>
        <v>0</v>
      </c>
      <c r="BJ282" s="53">
        <f t="shared" ref="BJ282:BJ288" si="363">F282*G282</f>
        <v>0</v>
      </c>
      <c r="BK282" s="54" t="s">
        <v>117</v>
      </c>
      <c r="BL282" s="53">
        <v>784</v>
      </c>
      <c r="BW282" s="53">
        <v>21</v>
      </c>
      <c r="BX282" s="3" t="s">
        <v>920</v>
      </c>
    </row>
    <row r="283" spans="1:76" ht="23" x14ac:dyDescent="0.35">
      <c r="A283" s="1" t="s">
        <v>922</v>
      </c>
      <c r="B283" s="2" t="s">
        <v>923</v>
      </c>
      <c r="C283" s="91" t="s">
        <v>924</v>
      </c>
      <c r="D283" s="88"/>
      <c r="E283" s="2" t="s">
        <v>113</v>
      </c>
      <c r="F283" s="53">
        <v>937.26</v>
      </c>
      <c r="G283" s="77">
        <v>0</v>
      </c>
      <c r="H283" s="53">
        <f t="shared" si="344"/>
        <v>0</v>
      </c>
      <c r="I283" s="79" t="s">
        <v>1688</v>
      </c>
      <c r="J283" s="49"/>
      <c r="Z283" s="53">
        <f t="shared" si="345"/>
        <v>0</v>
      </c>
      <c r="AB283" s="53">
        <f t="shared" si="346"/>
        <v>0</v>
      </c>
      <c r="AC283" s="53">
        <f t="shared" si="347"/>
        <v>0</v>
      </c>
      <c r="AD283" s="53">
        <f t="shared" si="348"/>
        <v>0</v>
      </c>
      <c r="AE283" s="53">
        <f t="shared" si="349"/>
        <v>0</v>
      </c>
      <c r="AF283" s="53">
        <f t="shared" si="350"/>
        <v>0</v>
      </c>
      <c r="AG283" s="53">
        <f t="shared" si="351"/>
        <v>0</v>
      </c>
      <c r="AH283" s="53">
        <f t="shared" si="352"/>
        <v>0</v>
      </c>
      <c r="AI283" s="36" t="s">
        <v>10</v>
      </c>
      <c r="AJ283" s="53">
        <f t="shared" si="353"/>
        <v>0</v>
      </c>
      <c r="AK283" s="53">
        <f t="shared" si="354"/>
        <v>0</v>
      </c>
      <c r="AL283" s="53">
        <f t="shared" si="355"/>
        <v>0</v>
      </c>
      <c r="AN283" s="53">
        <v>21</v>
      </c>
      <c r="AO283" s="53">
        <f>G283*0</f>
        <v>0</v>
      </c>
      <c r="AP283" s="53">
        <f>G283*(1-0)</f>
        <v>0</v>
      </c>
      <c r="AQ283" s="54" t="s">
        <v>134</v>
      </c>
      <c r="AV283" s="53">
        <f t="shared" si="356"/>
        <v>0</v>
      </c>
      <c r="AW283" s="53">
        <f t="shared" si="357"/>
        <v>0</v>
      </c>
      <c r="AX283" s="53">
        <f t="shared" si="358"/>
        <v>0</v>
      </c>
      <c r="AY283" s="54" t="s">
        <v>921</v>
      </c>
      <c r="AZ283" s="54" t="s">
        <v>864</v>
      </c>
      <c r="BA283" s="36" t="s">
        <v>116</v>
      </c>
      <c r="BC283" s="53">
        <f t="shared" si="359"/>
        <v>0</v>
      </c>
      <c r="BD283" s="53">
        <f t="shared" si="360"/>
        <v>0</v>
      </c>
      <c r="BE283" s="53">
        <v>0</v>
      </c>
      <c r="BF283" s="53">
        <f>283</f>
        <v>283</v>
      </c>
      <c r="BH283" s="53">
        <f t="shared" si="361"/>
        <v>0</v>
      </c>
      <c r="BI283" s="53">
        <f t="shared" si="362"/>
        <v>0</v>
      </c>
      <c r="BJ283" s="53">
        <f t="shared" si="363"/>
        <v>0</v>
      </c>
      <c r="BK283" s="54" t="s">
        <v>117</v>
      </c>
      <c r="BL283" s="53">
        <v>784</v>
      </c>
      <c r="BW283" s="53">
        <v>21</v>
      </c>
      <c r="BX283" s="3" t="s">
        <v>924</v>
      </c>
    </row>
    <row r="284" spans="1:76" ht="23" x14ac:dyDescent="0.35">
      <c r="A284" s="1" t="s">
        <v>925</v>
      </c>
      <c r="B284" s="2" t="s">
        <v>926</v>
      </c>
      <c r="C284" s="91" t="s">
        <v>927</v>
      </c>
      <c r="D284" s="88"/>
      <c r="E284" s="2" t="s">
        <v>137</v>
      </c>
      <c r="F284" s="53">
        <v>600</v>
      </c>
      <c r="G284" s="77">
        <v>0</v>
      </c>
      <c r="H284" s="53">
        <f t="shared" si="344"/>
        <v>0</v>
      </c>
      <c r="I284" s="79" t="s">
        <v>1688</v>
      </c>
      <c r="J284" s="49"/>
      <c r="Z284" s="53">
        <f t="shared" si="345"/>
        <v>0</v>
      </c>
      <c r="AB284" s="53">
        <f t="shared" si="346"/>
        <v>0</v>
      </c>
      <c r="AC284" s="53">
        <f t="shared" si="347"/>
        <v>0</v>
      </c>
      <c r="AD284" s="53">
        <f t="shared" si="348"/>
        <v>0</v>
      </c>
      <c r="AE284" s="53">
        <f t="shared" si="349"/>
        <v>0</v>
      </c>
      <c r="AF284" s="53">
        <f t="shared" si="350"/>
        <v>0</v>
      </c>
      <c r="AG284" s="53">
        <f t="shared" si="351"/>
        <v>0</v>
      </c>
      <c r="AH284" s="53">
        <f t="shared" si="352"/>
        <v>0</v>
      </c>
      <c r="AI284" s="36" t="s">
        <v>10</v>
      </c>
      <c r="AJ284" s="53">
        <f t="shared" si="353"/>
        <v>0</v>
      </c>
      <c r="AK284" s="53">
        <f t="shared" si="354"/>
        <v>0</v>
      </c>
      <c r="AL284" s="53">
        <f t="shared" si="355"/>
        <v>0</v>
      </c>
      <c r="AN284" s="53">
        <v>21</v>
      </c>
      <c r="AO284" s="53">
        <f>G284*0.114028009</f>
        <v>0</v>
      </c>
      <c r="AP284" s="53">
        <f>G284*(1-0.114028009)</f>
        <v>0</v>
      </c>
      <c r="AQ284" s="54" t="s">
        <v>134</v>
      </c>
      <c r="AV284" s="53">
        <f t="shared" si="356"/>
        <v>0</v>
      </c>
      <c r="AW284" s="53">
        <f t="shared" si="357"/>
        <v>0</v>
      </c>
      <c r="AX284" s="53">
        <f t="shared" si="358"/>
        <v>0</v>
      </c>
      <c r="AY284" s="54" t="s">
        <v>921</v>
      </c>
      <c r="AZ284" s="54" t="s">
        <v>864</v>
      </c>
      <c r="BA284" s="36" t="s">
        <v>116</v>
      </c>
      <c r="BC284" s="53">
        <f t="shared" si="359"/>
        <v>0</v>
      </c>
      <c r="BD284" s="53">
        <f t="shared" si="360"/>
        <v>0</v>
      </c>
      <c r="BE284" s="53">
        <v>0</v>
      </c>
      <c r="BF284" s="53">
        <f>284</f>
        <v>284</v>
      </c>
      <c r="BH284" s="53">
        <f t="shared" si="361"/>
        <v>0</v>
      </c>
      <c r="BI284" s="53">
        <f t="shared" si="362"/>
        <v>0</v>
      </c>
      <c r="BJ284" s="53">
        <f t="shared" si="363"/>
        <v>0</v>
      </c>
      <c r="BK284" s="54" t="s">
        <v>117</v>
      </c>
      <c r="BL284" s="53">
        <v>784</v>
      </c>
      <c r="BW284" s="53">
        <v>21</v>
      </c>
      <c r="BX284" s="3" t="s">
        <v>927</v>
      </c>
    </row>
    <row r="285" spans="1:76" ht="23" x14ac:dyDescent="0.35">
      <c r="A285" s="1" t="s">
        <v>928</v>
      </c>
      <c r="B285" s="2" t="s">
        <v>929</v>
      </c>
      <c r="C285" s="91" t="s">
        <v>930</v>
      </c>
      <c r="D285" s="88"/>
      <c r="E285" s="2" t="s">
        <v>113</v>
      </c>
      <c r="F285" s="53">
        <v>1755</v>
      </c>
      <c r="G285" s="77">
        <v>0</v>
      </c>
      <c r="H285" s="53">
        <f t="shared" si="344"/>
        <v>0</v>
      </c>
      <c r="I285" s="79" t="s">
        <v>1688</v>
      </c>
      <c r="J285" s="49"/>
      <c r="Z285" s="53">
        <f t="shared" si="345"/>
        <v>0</v>
      </c>
      <c r="AB285" s="53">
        <f t="shared" si="346"/>
        <v>0</v>
      </c>
      <c r="AC285" s="53">
        <f t="shared" si="347"/>
        <v>0</v>
      </c>
      <c r="AD285" s="53">
        <f t="shared" si="348"/>
        <v>0</v>
      </c>
      <c r="AE285" s="53">
        <f t="shared" si="349"/>
        <v>0</v>
      </c>
      <c r="AF285" s="53">
        <f t="shared" si="350"/>
        <v>0</v>
      </c>
      <c r="AG285" s="53">
        <f t="shared" si="351"/>
        <v>0</v>
      </c>
      <c r="AH285" s="53">
        <f t="shared" si="352"/>
        <v>0</v>
      </c>
      <c r="AI285" s="36" t="s">
        <v>10</v>
      </c>
      <c r="AJ285" s="53">
        <f t="shared" si="353"/>
        <v>0</v>
      </c>
      <c r="AK285" s="53">
        <f t="shared" si="354"/>
        <v>0</v>
      </c>
      <c r="AL285" s="53">
        <f t="shared" si="355"/>
        <v>0</v>
      </c>
      <c r="AN285" s="53">
        <v>21</v>
      </c>
      <c r="AO285" s="53">
        <f>G285*0.402097342</f>
        <v>0</v>
      </c>
      <c r="AP285" s="53">
        <f>G285*(1-0.402097342)</f>
        <v>0</v>
      </c>
      <c r="AQ285" s="54" t="s">
        <v>134</v>
      </c>
      <c r="AV285" s="53">
        <f t="shared" si="356"/>
        <v>0</v>
      </c>
      <c r="AW285" s="53">
        <f t="shared" si="357"/>
        <v>0</v>
      </c>
      <c r="AX285" s="53">
        <f t="shared" si="358"/>
        <v>0</v>
      </c>
      <c r="AY285" s="54" t="s">
        <v>921</v>
      </c>
      <c r="AZ285" s="54" t="s">
        <v>864</v>
      </c>
      <c r="BA285" s="36" t="s">
        <v>116</v>
      </c>
      <c r="BC285" s="53">
        <f t="shared" si="359"/>
        <v>0</v>
      </c>
      <c r="BD285" s="53">
        <f t="shared" si="360"/>
        <v>0</v>
      </c>
      <c r="BE285" s="53">
        <v>0</v>
      </c>
      <c r="BF285" s="53">
        <f>285</f>
        <v>285</v>
      </c>
      <c r="BH285" s="53">
        <f t="shared" si="361"/>
        <v>0</v>
      </c>
      <c r="BI285" s="53">
        <f t="shared" si="362"/>
        <v>0</v>
      </c>
      <c r="BJ285" s="53">
        <f t="shared" si="363"/>
        <v>0</v>
      </c>
      <c r="BK285" s="54" t="s">
        <v>117</v>
      </c>
      <c r="BL285" s="53">
        <v>784</v>
      </c>
      <c r="BW285" s="53">
        <v>21</v>
      </c>
      <c r="BX285" s="3" t="s">
        <v>930</v>
      </c>
    </row>
    <row r="286" spans="1:76" ht="23" x14ac:dyDescent="0.35">
      <c r="A286" s="1" t="s">
        <v>931</v>
      </c>
      <c r="B286" s="2" t="s">
        <v>932</v>
      </c>
      <c r="C286" s="91" t="s">
        <v>933</v>
      </c>
      <c r="D286" s="88"/>
      <c r="E286" s="2" t="s">
        <v>113</v>
      </c>
      <c r="F286" s="53">
        <v>1755</v>
      </c>
      <c r="G286" s="77">
        <v>0</v>
      </c>
      <c r="H286" s="53">
        <f t="shared" si="344"/>
        <v>0</v>
      </c>
      <c r="I286" s="79" t="s">
        <v>1688</v>
      </c>
      <c r="J286" s="49"/>
      <c r="Z286" s="53">
        <f t="shared" si="345"/>
        <v>0</v>
      </c>
      <c r="AB286" s="53">
        <f t="shared" si="346"/>
        <v>0</v>
      </c>
      <c r="AC286" s="53">
        <f t="shared" si="347"/>
        <v>0</v>
      </c>
      <c r="AD286" s="53">
        <f t="shared" si="348"/>
        <v>0</v>
      </c>
      <c r="AE286" s="53">
        <f t="shared" si="349"/>
        <v>0</v>
      </c>
      <c r="AF286" s="53">
        <f t="shared" si="350"/>
        <v>0</v>
      </c>
      <c r="AG286" s="53">
        <f t="shared" si="351"/>
        <v>0</v>
      </c>
      <c r="AH286" s="53">
        <f t="shared" si="352"/>
        <v>0</v>
      </c>
      <c r="AI286" s="36" t="s">
        <v>10</v>
      </c>
      <c r="AJ286" s="53">
        <f t="shared" si="353"/>
        <v>0</v>
      </c>
      <c r="AK286" s="53">
        <f t="shared" si="354"/>
        <v>0</v>
      </c>
      <c r="AL286" s="53">
        <f t="shared" si="355"/>
        <v>0</v>
      </c>
      <c r="AN286" s="53">
        <v>21</v>
      </c>
      <c r="AO286" s="53">
        <f>G286*0.250316443</f>
        <v>0</v>
      </c>
      <c r="AP286" s="53">
        <f>G286*(1-0.250316443)</f>
        <v>0</v>
      </c>
      <c r="AQ286" s="54" t="s">
        <v>134</v>
      </c>
      <c r="AV286" s="53">
        <f t="shared" si="356"/>
        <v>0</v>
      </c>
      <c r="AW286" s="53">
        <f t="shared" si="357"/>
        <v>0</v>
      </c>
      <c r="AX286" s="53">
        <f t="shared" si="358"/>
        <v>0</v>
      </c>
      <c r="AY286" s="54" t="s">
        <v>921</v>
      </c>
      <c r="AZ286" s="54" t="s">
        <v>864</v>
      </c>
      <c r="BA286" s="36" t="s">
        <v>116</v>
      </c>
      <c r="BC286" s="53">
        <f t="shared" si="359"/>
        <v>0</v>
      </c>
      <c r="BD286" s="53">
        <f t="shared" si="360"/>
        <v>0</v>
      </c>
      <c r="BE286" s="53">
        <v>0</v>
      </c>
      <c r="BF286" s="53">
        <f>286</f>
        <v>286</v>
      </c>
      <c r="BH286" s="53">
        <f t="shared" si="361"/>
        <v>0</v>
      </c>
      <c r="BI286" s="53">
        <f t="shared" si="362"/>
        <v>0</v>
      </c>
      <c r="BJ286" s="53">
        <f t="shared" si="363"/>
        <v>0</v>
      </c>
      <c r="BK286" s="54" t="s">
        <v>117</v>
      </c>
      <c r="BL286" s="53">
        <v>784</v>
      </c>
      <c r="BW286" s="53">
        <v>21</v>
      </c>
      <c r="BX286" s="3" t="s">
        <v>933</v>
      </c>
    </row>
    <row r="287" spans="1:76" ht="23" x14ac:dyDescent="0.35">
      <c r="A287" s="1" t="s">
        <v>934</v>
      </c>
      <c r="B287" s="2" t="s">
        <v>935</v>
      </c>
      <c r="C287" s="91" t="s">
        <v>936</v>
      </c>
      <c r="D287" s="88"/>
      <c r="E287" s="2" t="s">
        <v>113</v>
      </c>
      <c r="F287" s="53">
        <v>600</v>
      </c>
      <c r="G287" s="77">
        <v>0</v>
      </c>
      <c r="H287" s="53">
        <f t="shared" si="344"/>
        <v>0</v>
      </c>
      <c r="I287" s="79" t="s">
        <v>1688</v>
      </c>
      <c r="J287" s="49"/>
      <c r="Z287" s="53">
        <f t="shared" si="345"/>
        <v>0</v>
      </c>
      <c r="AB287" s="53">
        <f t="shared" si="346"/>
        <v>0</v>
      </c>
      <c r="AC287" s="53">
        <f t="shared" si="347"/>
        <v>0</v>
      </c>
      <c r="AD287" s="53">
        <f t="shared" si="348"/>
        <v>0</v>
      </c>
      <c r="AE287" s="53">
        <f t="shared" si="349"/>
        <v>0</v>
      </c>
      <c r="AF287" s="53">
        <f t="shared" si="350"/>
        <v>0</v>
      </c>
      <c r="AG287" s="53">
        <f t="shared" si="351"/>
        <v>0</v>
      </c>
      <c r="AH287" s="53">
        <f t="shared" si="352"/>
        <v>0</v>
      </c>
      <c r="AI287" s="36" t="s">
        <v>10</v>
      </c>
      <c r="AJ287" s="53">
        <f t="shared" si="353"/>
        <v>0</v>
      </c>
      <c r="AK287" s="53">
        <f t="shared" si="354"/>
        <v>0</v>
      </c>
      <c r="AL287" s="53">
        <f t="shared" si="355"/>
        <v>0</v>
      </c>
      <c r="AN287" s="53">
        <v>21</v>
      </c>
      <c r="AO287" s="53">
        <f>G287*0.255884706</f>
        <v>0</v>
      </c>
      <c r="AP287" s="53">
        <f>G287*(1-0.255884706)</f>
        <v>0</v>
      </c>
      <c r="AQ287" s="54" t="s">
        <v>134</v>
      </c>
      <c r="AV287" s="53">
        <f t="shared" si="356"/>
        <v>0</v>
      </c>
      <c r="AW287" s="53">
        <f t="shared" si="357"/>
        <v>0</v>
      </c>
      <c r="AX287" s="53">
        <f t="shared" si="358"/>
        <v>0</v>
      </c>
      <c r="AY287" s="54" t="s">
        <v>921</v>
      </c>
      <c r="AZ287" s="54" t="s">
        <v>864</v>
      </c>
      <c r="BA287" s="36" t="s">
        <v>116</v>
      </c>
      <c r="BC287" s="53">
        <f t="shared" si="359"/>
        <v>0</v>
      </c>
      <c r="BD287" s="53">
        <f t="shared" si="360"/>
        <v>0</v>
      </c>
      <c r="BE287" s="53">
        <v>0</v>
      </c>
      <c r="BF287" s="53">
        <f>287</f>
        <v>287</v>
      </c>
      <c r="BH287" s="53">
        <f t="shared" si="361"/>
        <v>0</v>
      </c>
      <c r="BI287" s="53">
        <f t="shared" si="362"/>
        <v>0</v>
      </c>
      <c r="BJ287" s="53">
        <f t="shared" si="363"/>
        <v>0</v>
      </c>
      <c r="BK287" s="54" t="s">
        <v>117</v>
      </c>
      <c r="BL287" s="53">
        <v>784</v>
      </c>
      <c r="BW287" s="53">
        <v>21</v>
      </c>
      <c r="BX287" s="3" t="s">
        <v>936</v>
      </c>
    </row>
    <row r="288" spans="1:76" ht="23" x14ac:dyDescent="0.35">
      <c r="A288" s="1" t="s">
        <v>937</v>
      </c>
      <c r="B288" s="2" t="s">
        <v>938</v>
      </c>
      <c r="C288" s="91" t="s">
        <v>939</v>
      </c>
      <c r="D288" s="88"/>
      <c r="E288" s="2" t="s">
        <v>113</v>
      </c>
      <c r="F288" s="53">
        <v>1755</v>
      </c>
      <c r="G288" s="77">
        <v>0</v>
      </c>
      <c r="H288" s="53">
        <f t="shared" si="344"/>
        <v>0</v>
      </c>
      <c r="I288" s="79" t="s">
        <v>1688</v>
      </c>
      <c r="J288" s="49"/>
      <c r="Z288" s="53">
        <f t="shared" si="345"/>
        <v>0</v>
      </c>
      <c r="AB288" s="53">
        <f t="shared" si="346"/>
        <v>0</v>
      </c>
      <c r="AC288" s="53">
        <f t="shared" si="347"/>
        <v>0</v>
      </c>
      <c r="AD288" s="53">
        <f t="shared" si="348"/>
        <v>0</v>
      </c>
      <c r="AE288" s="53">
        <f t="shared" si="349"/>
        <v>0</v>
      </c>
      <c r="AF288" s="53">
        <f t="shared" si="350"/>
        <v>0</v>
      </c>
      <c r="AG288" s="53">
        <f t="shared" si="351"/>
        <v>0</v>
      </c>
      <c r="AH288" s="53">
        <f t="shared" si="352"/>
        <v>0</v>
      </c>
      <c r="AI288" s="36" t="s">
        <v>10</v>
      </c>
      <c r="AJ288" s="53">
        <f t="shared" si="353"/>
        <v>0</v>
      </c>
      <c r="AK288" s="53">
        <f t="shared" si="354"/>
        <v>0</v>
      </c>
      <c r="AL288" s="53">
        <f t="shared" si="355"/>
        <v>0</v>
      </c>
      <c r="AN288" s="53">
        <v>21</v>
      </c>
      <c r="AO288" s="53">
        <f>G288*0.003654501</f>
        <v>0</v>
      </c>
      <c r="AP288" s="53">
        <f>G288*(1-0.003654501)</f>
        <v>0</v>
      </c>
      <c r="AQ288" s="54" t="s">
        <v>134</v>
      </c>
      <c r="AV288" s="53">
        <f t="shared" si="356"/>
        <v>0</v>
      </c>
      <c r="AW288" s="53">
        <f t="shared" si="357"/>
        <v>0</v>
      </c>
      <c r="AX288" s="53">
        <f t="shared" si="358"/>
        <v>0</v>
      </c>
      <c r="AY288" s="54" t="s">
        <v>921</v>
      </c>
      <c r="AZ288" s="54" t="s">
        <v>864</v>
      </c>
      <c r="BA288" s="36" t="s">
        <v>116</v>
      </c>
      <c r="BC288" s="53">
        <f t="shared" si="359"/>
        <v>0</v>
      </c>
      <c r="BD288" s="53">
        <f t="shared" si="360"/>
        <v>0</v>
      </c>
      <c r="BE288" s="53">
        <v>0</v>
      </c>
      <c r="BF288" s="53">
        <f>288</f>
        <v>288</v>
      </c>
      <c r="BH288" s="53">
        <f t="shared" si="361"/>
        <v>0</v>
      </c>
      <c r="BI288" s="53">
        <f t="shared" si="362"/>
        <v>0</v>
      </c>
      <c r="BJ288" s="53">
        <f t="shared" si="363"/>
        <v>0</v>
      </c>
      <c r="BK288" s="54" t="s">
        <v>117</v>
      </c>
      <c r="BL288" s="53">
        <v>784</v>
      </c>
      <c r="BW288" s="53">
        <v>21</v>
      </c>
      <c r="BX288" s="3" t="s">
        <v>939</v>
      </c>
    </row>
    <row r="289" spans="1:76" ht="14.5" x14ac:dyDescent="0.35">
      <c r="A289" s="50" t="s">
        <v>10</v>
      </c>
      <c r="B289" s="51" t="s">
        <v>940</v>
      </c>
      <c r="C289" s="174" t="s">
        <v>1695</v>
      </c>
      <c r="D289" s="173"/>
      <c r="E289" s="52" t="s">
        <v>75</v>
      </c>
      <c r="F289" s="52" t="s">
        <v>75</v>
      </c>
      <c r="G289" s="52" t="s">
        <v>75</v>
      </c>
      <c r="H289" s="28">
        <f>SUM(H290:H292)</f>
        <v>0</v>
      </c>
      <c r="I289" s="36" t="s">
        <v>10</v>
      </c>
      <c r="J289" s="49"/>
      <c r="AI289" s="36" t="s">
        <v>10</v>
      </c>
      <c r="AS289" s="28">
        <f>SUM(AJ290:AJ292)</f>
        <v>0</v>
      </c>
      <c r="AT289" s="28">
        <f>SUM(AK290:AK292)</f>
        <v>0</v>
      </c>
      <c r="AU289" s="28">
        <f>SUM(AL290:AL292)</f>
        <v>0</v>
      </c>
    </row>
    <row r="290" spans="1:76" ht="23" x14ac:dyDescent="0.35">
      <c r="A290" s="1" t="s">
        <v>942</v>
      </c>
      <c r="B290" s="2" t="s">
        <v>943</v>
      </c>
      <c r="C290" s="91" t="s">
        <v>944</v>
      </c>
      <c r="D290" s="88"/>
      <c r="E290" s="2" t="s">
        <v>121</v>
      </c>
      <c r="F290" s="53">
        <v>1</v>
      </c>
      <c r="G290" s="53">
        <v>0</v>
      </c>
      <c r="H290" s="53">
        <f>ROUND(F290*G290,2)</f>
        <v>0</v>
      </c>
      <c r="I290" s="79" t="s">
        <v>1688</v>
      </c>
      <c r="J290" s="49"/>
      <c r="Z290" s="53">
        <f>ROUND(IF(AQ290="5",BJ290,0),2)</f>
        <v>0</v>
      </c>
      <c r="AB290" s="53">
        <f>ROUND(IF(AQ290="1",BH290,0),2)</f>
        <v>0</v>
      </c>
      <c r="AC290" s="53">
        <f>ROUND(IF(AQ290="1",BI290,0),2)</f>
        <v>0</v>
      </c>
      <c r="AD290" s="53">
        <f>ROUND(IF(AQ290="7",BH290,0),2)</f>
        <v>0</v>
      </c>
      <c r="AE290" s="53">
        <f>ROUND(IF(AQ290="7",BI290,0),2)</f>
        <v>0</v>
      </c>
      <c r="AF290" s="53">
        <f>ROUND(IF(AQ290="2",BH290,0),2)</f>
        <v>0</v>
      </c>
      <c r="AG290" s="53">
        <f>ROUND(IF(AQ290="2",BI290,0),2)</f>
        <v>0</v>
      </c>
      <c r="AH290" s="53">
        <f>ROUND(IF(AQ290="0",BJ290,0),2)</f>
        <v>0</v>
      </c>
      <c r="AI290" s="36" t="s">
        <v>10</v>
      </c>
      <c r="AJ290" s="53">
        <f>IF(AN290=0,H290,0)</f>
        <v>0</v>
      </c>
      <c r="AK290" s="53">
        <f>IF(AN290=12,H290,0)</f>
        <v>0</v>
      </c>
      <c r="AL290" s="53">
        <f>IF(AN290=21,H290,0)</f>
        <v>0</v>
      </c>
      <c r="AN290" s="53">
        <v>21</v>
      </c>
      <c r="AO290" s="53">
        <f>G290*0.972682742</f>
        <v>0</v>
      </c>
      <c r="AP290" s="53">
        <f>G290*(1-0.972682742)</f>
        <v>0</v>
      </c>
      <c r="AQ290" s="54" t="s">
        <v>134</v>
      </c>
      <c r="AV290" s="53">
        <f>ROUND(AW290+AX290,2)</f>
        <v>0</v>
      </c>
      <c r="AW290" s="53">
        <f>ROUND(F290*AO290,2)</f>
        <v>0</v>
      </c>
      <c r="AX290" s="53">
        <f>ROUND(F290*AP290,2)</f>
        <v>0</v>
      </c>
      <c r="AY290" s="54" t="s">
        <v>945</v>
      </c>
      <c r="AZ290" s="54" t="s">
        <v>946</v>
      </c>
      <c r="BA290" s="36" t="s">
        <v>116</v>
      </c>
      <c r="BC290" s="53">
        <f>AW290+AX290</f>
        <v>0</v>
      </c>
      <c r="BD290" s="53">
        <f>G290/(100-BE290)*100</f>
        <v>0</v>
      </c>
      <c r="BE290" s="53">
        <v>0</v>
      </c>
      <c r="BF290" s="53">
        <f>290</f>
        <v>290</v>
      </c>
      <c r="BH290" s="53">
        <f>F290*AO290</f>
        <v>0</v>
      </c>
      <c r="BI290" s="53">
        <f>F290*AP290</f>
        <v>0</v>
      </c>
      <c r="BJ290" s="53">
        <f>F290*G290</f>
        <v>0</v>
      </c>
      <c r="BK290" s="54" t="s">
        <v>117</v>
      </c>
      <c r="BL290" s="53">
        <v>794</v>
      </c>
      <c r="BW290" s="53">
        <v>21</v>
      </c>
      <c r="BX290" s="3" t="s">
        <v>944</v>
      </c>
    </row>
    <row r="291" spans="1:76" ht="23" x14ac:dyDescent="0.35">
      <c r="A291" s="1" t="s">
        <v>947</v>
      </c>
      <c r="B291" s="2" t="s">
        <v>943</v>
      </c>
      <c r="C291" s="91" t="s">
        <v>948</v>
      </c>
      <c r="D291" s="88"/>
      <c r="E291" s="2" t="s">
        <v>121</v>
      </c>
      <c r="F291" s="53">
        <v>1</v>
      </c>
      <c r="G291" s="53">
        <v>0</v>
      </c>
      <c r="H291" s="53">
        <f>ROUND(F291*G291,2)</f>
        <v>0</v>
      </c>
      <c r="I291" s="79" t="s">
        <v>1688</v>
      </c>
      <c r="J291" s="49"/>
      <c r="Z291" s="53">
        <f>ROUND(IF(AQ291="5",BJ291,0),2)</f>
        <v>0</v>
      </c>
      <c r="AB291" s="53">
        <f>ROUND(IF(AQ291="1",BH291,0),2)</f>
        <v>0</v>
      </c>
      <c r="AC291" s="53">
        <f>ROUND(IF(AQ291="1",BI291,0),2)</f>
        <v>0</v>
      </c>
      <c r="AD291" s="53">
        <f>ROUND(IF(AQ291="7",BH291,0),2)</f>
        <v>0</v>
      </c>
      <c r="AE291" s="53">
        <f>ROUND(IF(AQ291="7",BI291,0),2)</f>
        <v>0</v>
      </c>
      <c r="AF291" s="53">
        <f>ROUND(IF(AQ291="2",BH291,0),2)</f>
        <v>0</v>
      </c>
      <c r="AG291" s="53">
        <f>ROUND(IF(AQ291="2",BI291,0),2)</f>
        <v>0</v>
      </c>
      <c r="AH291" s="53">
        <f>ROUND(IF(AQ291="0",BJ291,0),2)</f>
        <v>0</v>
      </c>
      <c r="AI291" s="36" t="s">
        <v>10</v>
      </c>
      <c r="AJ291" s="53">
        <f>IF(AN291=0,H291,0)</f>
        <v>0</v>
      </c>
      <c r="AK291" s="53">
        <f>IF(AN291=12,H291,0)</f>
        <v>0</v>
      </c>
      <c r="AL291" s="53">
        <f>IF(AN291=21,H291,0)</f>
        <v>0</v>
      </c>
      <c r="AN291" s="53">
        <v>21</v>
      </c>
      <c r="AO291" s="53">
        <f>G291*0</f>
        <v>0</v>
      </c>
      <c r="AP291" s="53">
        <f>G291*(1-0)</f>
        <v>0</v>
      </c>
      <c r="AQ291" s="54" t="s">
        <v>134</v>
      </c>
      <c r="AV291" s="53">
        <f>ROUND(AW291+AX291,2)</f>
        <v>0</v>
      </c>
      <c r="AW291" s="53">
        <f>ROUND(F291*AO291,2)</f>
        <v>0</v>
      </c>
      <c r="AX291" s="53">
        <f>ROUND(F291*AP291,2)</f>
        <v>0</v>
      </c>
      <c r="AY291" s="54" t="s">
        <v>945</v>
      </c>
      <c r="AZ291" s="54" t="s">
        <v>946</v>
      </c>
      <c r="BA291" s="36" t="s">
        <v>116</v>
      </c>
      <c r="BC291" s="53">
        <f>AW291+AX291</f>
        <v>0</v>
      </c>
      <c r="BD291" s="53">
        <f>G291/(100-BE291)*100</f>
        <v>0</v>
      </c>
      <c r="BE291" s="53">
        <v>0</v>
      </c>
      <c r="BF291" s="53">
        <f>291</f>
        <v>291</v>
      </c>
      <c r="BH291" s="53">
        <f>F291*AO291</f>
        <v>0</v>
      </c>
      <c r="BI291" s="53">
        <f>F291*AP291</f>
        <v>0</v>
      </c>
      <c r="BJ291" s="53">
        <f>F291*G291</f>
        <v>0</v>
      </c>
      <c r="BK291" s="54" t="s">
        <v>117</v>
      </c>
      <c r="BL291" s="53">
        <v>794</v>
      </c>
      <c r="BW291" s="53">
        <v>21</v>
      </c>
      <c r="BX291" s="3" t="s">
        <v>948</v>
      </c>
    </row>
    <row r="292" spans="1:76" ht="23" x14ac:dyDescent="0.35">
      <c r="A292" s="1" t="s">
        <v>949</v>
      </c>
      <c r="B292" s="2" t="s">
        <v>943</v>
      </c>
      <c r="C292" s="91" t="s">
        <v>950</v>
      </c>
      <c r="D292" s="88"/>
      <c r="E292" s="2" t="s">
        <v>121</v>
      </c>
      <c r="F292" s="53">
        <v>1</v>
      </c>
      <c r="G292" s="53">
        <v>0</v>
      </c>
      <c r="H292" s="53">
        <f>ROUND(F292*G292,2)</f>
        <v>0</v>
      </c>
      <c r="I292" s="79" t="s">
        <v>1688</v>
      </c>
      <c r="J292" s="49"/>
      <c r="Z292" s="53">
        <f>ROUND(IF(AQ292="5",BJ292,0),2)</f>
        <v>0</v>
      </c>
      <c r="AB292" s="53">
        <f>ROUND(IF(AQ292="1",BH292,0),2)</f>
        <v>0</v>
      </c>
      <c r="AC292" s="53">
        <f>ROUND(IF(AQ292="1",BI292,0),2)</f>
        <v>0</v>
      </c>
      <c r="AD292" s="53">
        <f>ROUND(IF(AQ292="7",BH292,0),2)</f>
        <v>0</v>
      </c>
      <c r="AE292" s="53">
        <f>ROUND(IF(AQ292="7",BI292,0),2)</f>
        <v>0</v>
      </c>
      <c r="AF292" s="53">
        <f>ROUND(IF(AQ292="2",BH292,0),2)</f>
        <v>0</v>
      </c>
      <c r="AG292" s="53">
        <f>ROUND(IF(AQ292="2",BI292,0),2)</f>
        <v>0</v>
      </c>
      <c r="AH292" s="53">
        <f>ROUND(IF(AQ292="0",BJ292,0),2)</f>
        <v>0</v>
      </c>
      <c r="AI292" s="36" t="s">
        <v>10</v>
      </c>
      <c r="AJ292" s="53">
        <f>IF(AN292=0,H292,0)</f>
        <v>0</v>
      </c>
      <c r="AK292" s="53">
        <f>IF(AN292=12,H292,0)</f>
        <v>0</v>
      </c>
      <c r="AL292" s="53">
        <f>IF(AN292=21,H292,0)</f>
        <v>0</v>
      </c>
      <c r="AN292" s="53">
        <v>21</v>
      </c>
      <c r="AO292" s="53">
        <f>G292*1</f>
        <v>0</v>
      </c>
      <c r="AP292" s="53">
        <f>G292*(1-1)</f>
        <v>0</v>
      </c>
      <c r="AQ292" s="54" t="s">
        <v>134</v>
      </c>
      <c r="AV292" s="53">
        <f>ROUND(AW292+AX292,2)</f>
        <v>0</v>
      </c>
      <c r="AW292" s="53">
        <f>ROUND(F292*AO292,2)</f>
        <v>0</v>
      </c>
      <c r="AX292" s="53">
        <f>ROUND(F292*AP292,2)</f>
        <v>0</v>
      </c>
      <c r="AY292" s="54" t="s">
        <v>945</v>
      </c>
      <c r="AZ292" s="54" t="s">
        <v>946</v>
      </c>
      <c r="BA292" s="36" t="s">
        <v>116</v>
      </c>
      <c r="BC292" s="53">
        <f>AW292+AX292</f>
        <v>0</v>
      </c>
      <c r="BD292" s="53">
        <f>G292/(100-BE292)*100</f>
        <v>0</v>
      </c>
      <c r="BE292" s="53">
        <v>0</v>
      </c>
      <c r="BF292" s="53">
        <f>292</f>
        <v>292</v>
      </c>
      <c r="BH292" s="53">
        <f>F292*AO292</f>
        <v>0</v>
      </c>
      <c r="BI292" s="53">
        <f>F292*AP292</f>
        <v>0</v>
      </c>
      <c r="BJ292" s="53">
        <f>F292*G292</f>
        <v>0</v>
      </c>
      <c r="BK292" s="54" t="s">
        <v>117</v>
      </c>
      <c r="BL292" s="53">
        <v>794</v>
      </c>
      <c r="BW292" s="53">
        <v>21</v>
      </c>
      <c r="BX292" s="3" t="s">
        <v>950</v>
      </c>
    </row>
    <row r="293" spans="1:76" ht="14.5" x14ac:dyDescent="0.35">
      <c r="A293" s="50" t="s">
        <v>10</v>
      </c>
      <c r="B293" s="51" t="s">
        <v>951</v>
      </c>
      <c r="C293" s="174" t="s">
        <v>1696</v>
      </c>
      <c r="D293" s="172"/>
      <c r="E293" s="52" t="s">
        <v>75</v>
      </c>
      <c r="F293" s="52" t="s">
        <v>75</v>
      </c>
      <c r="G293" s="52" t="s">
        <v>75</v>
      </c>
      <c r="H293" s="28">
        <f>SUM(H294:H295)</f>
        <v>0</v>
      </c>
      <c r="I293" s="36" t="s">
        <v>10</v>
      </c>
      <c r="J293" s="49"/>
      <c r="AI293" s="36" t="s">
        <v>10</v>
      </c>
      <c r="AS293" s="28">
        <f>SUM(AJ294:AJ295)</f>
        <v>0</v>
      </c>
      <c r="AT293" s="28">
        <f>SUM(AK294:AK295)</f>
        <v>0</v>
      </c>
      <c r="AU293" s="28">
        <f>SUM(AL294:AL295)</f>
        <v>0</v>
      </c>
    </row>
    <row r="294" spans="1:76" ht="23" x14ac:dyDescent="0.35">
      <c r="A294" s="1" t="s">
        <v>953</v>
      </c>
      <c r="B294" s="2" t="s">
        <v>954</v>
      </c>
      <c r="C294" s="91" t="s">
        <v>955</v>
      </c>
      <c r="D294" s="91"/>
      <c r="E294" s="2" t="s">
        <v>434</v>
      </c>
      <c r="F294" s="53">
        <v>38</v>
      </c>
      <c r="G294" s="82">
        <v>0</v>
      </c>
      <c r="H294" s="53">
        <f>ROUND(F294*G294,2)</f>
        <v>0</v>
      </c>
      <c r="I294" s="79" t="s">
        <v>1688</v>
      </c>
      <c r="J294" s="49"/>
      <c r="Z294" s="53">
        <f>ROUND(IF(AQ294="5",BJ294,0),2)</f>
        <v>0</v>
      </c>
      <c r="AB294" s="53">
        <f>ROUND(IF(AQ294="1",BH294,0),2)</f>
        <v>0</v>
      </c>
      <c r="AC294" s="53">
        <f>ROUND(IF(AQ294="1",BI294,0),2)</f>
        <v>0</v>
      </c>
      <c r="AD294" s="53">
        <f>ROUND(IF(AQ294="7",BH294,0),2)</f>
        <v>0</v>
      </c>
      <c r="AE294" s="53">
        <f>ROUND(IF(AQ294="7",BI294,0),2)</f>
        <v>0</v>
      </c>
      <c r="AF294" s="53">
        <f>ROUND(IF(AQ294="2",BH294,0),2)</f>
        <v>0</v>
      </c>
      <c r="AG294" s="53">
        <f>ROUND(IF(AQ294="2",BI294,0),2)</f>
        <v>0</v>
      </c>
      <c r="AH294" s="53">
        <f>ROUND(IF(AQ294="0",BJ294,0),2)</f>
        <v>0</v>
      </c>
      <c r="AI294" s="36" t="s">
        <v>10</v>
      </c>
      <c r="AJ294" s="53">
        <f>IF(AN294=0,H294,0)</f>
        <v>0</v>
      </c>
      <c r="AK294" s="53">
        <f>IF(AN294=12,H294,0)</f>
        <v>0</v>
      </c>
      <c r="AL294" s="53">
        <f>IF(AN294=21,H294,0)</f>
        <v>0</v>
      </c>
      <c r="AN294" s="53">
        <v>21</v>
      </c>
      <c r="AO294" s="53">
        <f>G294*0.875000887</f>
        <v>0</v>
      </c>
      <c r="AP294" s="53">
        <f>G294*(1-0.875000887)</f>
        <v>0</v>
      </c>
      <c r="AQ294" s="54" t="s">
        <v>134</v>
      </c>
      <c r="AV294" s="53">
        <f>ROUND(AW294+AX294,2)</f>
        <v>0</v>
      </c>
      <c r="AW294" s="53">
        <f>ROUND(F294*AO294,2)</f>
        <v>0</v>
      </c>
      <c r="AX294" s="53">
        <f>ROUND(F294*AP294,2)</f>
        <v>0</v>
      </c>
      <c r="AY294" s="54" t="s">
        <v>956</v>
      </c>
      <c r="AZ294" s="54" t="s">
        <v>946</v>
      </c>
      <c r="BA294" s="36" t="s">
        <v>116</v>
      </c>
      <c r="BC294" s="53">
        <f>AW294+AX294</f>
        <v>0</v>
      </c>
      <c r="BD294" s="53">
        <f>G294/(100-BE294)*100</f>
        <v>0</v>
      </c>
      <c r="BE294" s="53">
        <v>0</v>
      </c>
      <c r="BF294" s="53">
        <f>294</f>
        <v>294</v>
      </c>
      <c r="BH294" s="53">
        <f>F294*AO294</f>
        <v>0</v>
      </c>
      <c r="BI294" s="53">
        <f>F294*AP294</f>
        <v>0</v>
      </c>
      <c r="BJ294" s="53">
        <f>F294*G294</f>
        <v>0</v>
      </c>
      <c r="BK294" s="54" t="s">
        <v>117</v>
      </c>
      <c r="BL294" s="53">
        <v>795</v>
      </c>
      <c r="BW294" s="53">
        <v>21</v>
      </c>
      <c r="BX294" s="3" t="s">
        <v>955</v>
      </c>
    </row>
    <row r="295" spans="1:76" ht="23" x14ac:dyDescent="0.35">
      <c r="A295" s="1" t="s">
        <v>957</v>
      </c>
      <c r="B295" s="2" t="s">
        <v>958</v>
      </c>
      <c r="C295" s="91" t="s">
        <v>959</v>
      </c>
      <c r="D295" s="91"/>
      <c r="E295" s="2" t="s">
        <v>434</v>
      </c>
      <c r="F295" s="53">
        <v>164</v>
      </c>
      <c r="G295" s="82">
        <v>0</v>
      </c>
      <c r="H295" s="53">
        <f>ROUND(F295*G295,2)</f>
        <v>0</v>
      </c>
      <c r="I295" s="79" t="s">
        <v>1688</v>
      </c>
      <c r="J295" s="49"/>
      <c r="Z295" s="53">
        <f>ROUND(IF(AQ295="5",BJ295,0),2)</f>
        <v>0</v>
      </c>
      <c r="AB295" s="53">
        <f>ROUND(IF(AQ295="1",BH295,0),2)</f>
        <v>0</v>
      </c>
      <c r="AC295" s="53">
        <f>ROUND(IF(AQ295="1",BI295,0),2)</f>
        <v>0</v>
      </c>
      <c r="AD295" s="53">
        <f>ROUND(IF(AQ295="7",BH295,0),2)</f>
        <v>0</v>
      </c>
      <c r="AE295" s="53">
        <f>ROUND(IF(AQ295="7",BI295,0),2)</f>
        <v>0</v>
      </c>
      <c r="AF295" s="53">
        <f>ROUND(IF(AQ295="2",BH295,0),2)</f>
        <v>0</v>
      </c>
      <c r="AG295" s="53">
        <f>ROUND(IF(AQ295="2",BI295,0),2)</f>
        <v>0</v>
      </c>
      <c r="AH295" s="53">
        <f>ROUND(IF(AQ295="0",BJ295,0),2)</f>
        <v>0</v>
      </c>
      <c r="AI295" s="36" t="s">
        <v>10</v>
      </c>
      <c r="AJ295" s="53">
        <f>IF(AN295=0,H295,0)</f>
        <v>0</v>
      </c>
      <c r="AK295" s="53">
        <f>IF(AN295=12,H295,0)</f>
        <v>0</v>
      </c>
      <c r="AL295" s="53">
        <f>IF(AN295=21,H295,0)</f>
        <v>0</v>
      </c>
      <c r="AN295" s="53">
        <v>21</v>
      </c>
      <c r="AO295" s="53">
        <f>G295*0.93103598</f>
        <v>0</v>
      </c>
      <c r="AP295" s="53">
        <f>G295*(1-0.93103598)</f>
        <v>0</v>
      </c>
      <c r="AQ295" s="54" t="s">
        <v>134</v>
      </c>
      <c r="AV295" s="53">
        <f>ROUND(AW295+AX295,2)</f>
        <v>0</v>
      </c>
      <c r="AW295" s="53">
        <f>ROUND(F295*AO295,2)</f>
        <v>0</v>
      </c>
      <c r="AX295" s="53">
        <f>ROUND(F295*AP295,2)</f>
        <v>0</v>
      </c>
      <c r="AY295" s="54" t="s">
        <v>956</v>
      </c>
      <c r="AZ295" s="54" t="s">
        <v>946</v>
      </c>
      <c r="BA295" s="36" t="s">
        <v>116</v>
      </c>
      <c r="BC295" s="53">
        <f>AW295+AX295</f>
        <v>0</v>
      </c>
      <c r="BD295" s="53">
        <f>G295/(100-BE295)*100</f>
        <v>0</v>
      </c>
      <c r="BE295" s="53">
        <v>0</v>
      </c>
      <c r="BF295" s="53">
        <f>295</f>
        <v>295</v>
      </c>
      <c r="BH295" s="53">
        <f>F295*AO295</f>
        <v>0</v>
      </c>
      <c r="BI295" s="53">
        <f>F295*AP295</f>
        <v>0</v>
      </c>
      <c r="BJ295" s="53">
        <f>F295*G295</f>
        <v>0</v>
      </c>
      <c r="BK295" s="54" t="s">
        <v>117</v>
      </c>
      <c r="BL295" s="53">
        <v>795</v>
      </c>
      <c r="BW295" s="53">
        <v>21</v>
      </c>
      <c r="BX295" s="3" t="s">
        <v>959</v>
      </c>
    </row>
    <row r="296" spans="1:76" ht="14.5" x14ac:dyDescent="0.35">
      <c r="A296" s="50" t="s">
        <v>10</v>
      </c>
      <c r="B296" s="51" t="s">
        <v>421</v>
      </c>
      <c r="C296" s="172" t="s">
        <v>960</v>
      </c>
      <c r="D296" s="173"/>
      <c r="E296" s="52" t="s">
        <v>75</v>
      </c>
      <c r="F296" s="52" t="s">
        <v>75</v>
      </c>
      <c r="G296" s="52" t="s">
        <v>75</v>
      </c>
      <c r="H296" s="28">
        <f>SUM(H297:H301)</f>
        <v>0</v>
      </c>
      <c r="I296" s="36" t="s">
        <v>10</v>
      </c>
      <c r="J296" s="49"/>
      <c r="AI296" s="36" t="s">
        <v>10</v>
      </c>
      <c r="AS296" s="28">
        <f>SUM(AJ297:AJ301)</f>
        <v>0</v>
      </c>
      <c r="AT296" s="28">
        <f>SUM(AK297:AK301)</f>
        <v>0</v>
      </c>
      <c r="AU296" s="28">
        <f>SUM(AL297:AL301)</f>
        <v>0</v>
      </c>
    </row>
    <row r="297" spans="1:76" ht="25" x14ac:dyDescent="0.35">
      <c r="A297" s="1" t="s">
        <v>961</v>
      </c>
      <c r="B297" s="2" t="s">
        <v>962</v>
      </c>
      <c r="C297" s="91" t="s">
        <v>963</v>
      </c>
      <c r="D297" s="88"/>
      <c r="E297" s="2" t="s">
        <v>434</v>
      </c>
      <c r="F297" s="53">
        <v>2</v>
      </c>
      <c r="G297" s="77">
        <v>0</v>
      </c>
      <c r="H297" s="53">
        <f>ROUND(F297*G297,2)</f>
        <v>0</v>
      </c>
      <c r="I297" s="79" t="s">
        <v>1688</v>
      </c>
      <c r="J297" s="49"/>
      <c r="Z297" s="53">
        <f>ROUND(IF(AQ297="5",BJ297,0),2)</f>
        <v>0</v>
      </c>
      <c r="AB297" s="53">
        <f>ROUND(IF(AQ297="1",BH297,0),2)</f>
        <v>0</v>
      </c>
      <c r="AC297" s="53">
        <f>ROUND(IF(AQ297="1",BI297,0),2)</f>
        <v>0</v>
      </c>
      <c r="AD297" s="53">
        <f>ROUND(IF(AQ297="7",BH297,0),2)</f>
        <v>0</v>
      </c>
      <c r="AE297" s="53">
        <f>ROUND(IF(AQ297="7",BI297,0),2)</f>
        <v>0</v>
      </c>
      <c r="AF297" s="53">
        <f>ROUND(IF(AQ297="2",BH297,0),2)</f>
        <v>0</v>
      </c>
      <c r="AG297" s="53">
        <f>ROUND(IF(AQ297="2",BI297,0),2)</f>
        <v>0</v>
      </c>
      <c r="AH297" s="53">
        <f>ROUND(IF(AQ297="0",BJ297,0),2)</f>
        <v>0</v>
      </c>
      <c r="AI297" s="36" t="s">
        <v>10</v>
      </c>
      <c r="AJ297" s="53">
        <f>IF(AN297=0,H297,0)</f>
        <v>0</v>
      </c>
      <c r="AK297" s="53">
        <f>IF(AN297=12,H297,0)</f>
        <v>0</v>
      </c>
      <c r="AL297" s="53">
        <f>IF(AN297=21,H297,0)</f>
        <v>0</v>
      </c>
      <c r="AN297" s="53">
        <v>21</v>
      </c>
      <c r="AO297" s="53">
        <f>G297*0.796268599</f>
        <v>0</v>
      </c>
      <c r="AP297" s="53">
        <f>G297*(1-0.796268599)</f>
        <v>0</v>
      </c>
      <c r="AQ297" s="54" t="s">
        <v>110</v>
      </c>
      <c r="AV297" s="53">
        <f>ROUND(AW297+AX297,2)</f>
        <v>0</v>
      </c>
      <c r="AW297" s="53">
        <f>ROUND(F297*AO297,2)</f>
        <v>0</v>
      </c>
      <c r="AX297" s="53">
        <f>ROUND(F297*AP297,2)</f>
        <v>0</v>
      </c>
      <c r="AY297" s="54" t="s">
        <v>964</v>
      </c>
      <c r="AZ297" s="54" t="s">
        <v>965</v>
      </c>
      <c r="BA297" s="36" t="s">
        <v>116</v>
      </c>
      <c r="BC297" s="53">
        <f>AW297+AX297</f>
        <v>0</v>
      </c>
      <c r="BD297" s="53">
        <f>G297/(100-BE297)*100</f>
        <v>0</v>
      </c>
      <c r="BE297" s="53">
        <v>0</v>
      </c>
      <c r="BF297" s="53">
        <f>297</f>
        <v>297</v>
      </c>
      <c r="BH297" s="53">
        <f>F297*AO297</f>
        <v>0</v>
      </c>
      <c r="BI297" s="53">
        <f>F297*AP297</f>
        <v>0</v>
      </c>
      <c r="BJ297" s="53">
        <f>F297*G297</f>
        <v>0</v>
      </c>
      <c r="BK297" s="54" t="s">
        <v>117</v>
      </c>
      <c r="BL297" s="53">
        <v>89</v>
      </c>
      <c r="BW297" s="53">
        <v>21</v>
      </c>
      <c r="BX297" s="3" t="s">
        <v>963</v>
      </c>
    </row>
    <row r="298" spans="1:76" ht="23" x14ac:dyDescent="0.35">
      <c r="A298" s="1" t="s">
        <v>966</v>
      </c>
      <c r="B298" s="2" t="s">
        <v>967</v>
      </c>
      <c r="C298" s="91" t="s">
        <v>968</v>
      </c>
      <c r="D298" s="88"/>
      <c r="E298" s="2" t="s">
        <v>121</v>
      </c>
      <c r="F298" s="53">
        <v>1</v>
      </c>
      <c r="G298" s="77">
        <v>0</v>
      </c>
      <c r="H298" s="53">
        <f>ROUND(F298*G298,2)</f>
        <v>0</v>
      </c>
      <c r="I298" s="79" t="s">
        <v>1688</v>
      </c>
      <c r="J298" s="49"/>
      <c r="Z298" s="53">
        <f>ROUND(IF(AQ298="5",BJ298,0),2)</f>
        <v>0</v>
      </c>
      <c r="AB298" s="53">
        <f>ROUND(IF(AQ298="1",BH298,0),2)</f>
        <v>0</v>
      </c>
      <c r="AC298" s="53">
        <f>ROUND(IF(AQ298="1",BI298,0),2)</f>
        <v>0</v>
      </c>
      <c r="AD298" s="53">
        <f>ROUND(IF(AQ298="7",BH298,0),2)</f>
        <v>0</v>
      </c>
      <c r="AE298" s="53">
        <f>ROUND(IF(AQ298="7",BI298,0),2)</f>
        <v>0</v>
      </c>
      <c r="AF298" s="53">
        <f>ROUND(IF(AQ298="2",BH298,0),2)</f>
        <v>0</v>
      </c>
      <c r="AG298" s="53">
        <f>ROUND(IF(AQ298="2",BI298,0),2)</f>
        <v>0</v>
      </c>
      <c r="AH298" s="53">
        <f>ROUND(IF(AQ298="0",BJ298,0),2)</f>
        <v>0</v>
      </c>
      <c r="AI298" s="36" t="s">
        <v>10</v>
      </c>
      <c r="AJ298" s="53">
        <f>IF(AN298=0,H298,0)</f>
        <v>0</v>
      </c>
      <c r="AK298" s="53">
        <f>IF(AN298=12,H298,0)</f>
        <v>0</v>
      </c>
      <c r="AL298" s="53">
        <f>IF(AN298=21,H298,0)</f>
        <v>0</v>
      </c>
      <c r="AN298" s="53">
        <v>21</v>
      </c>
      <c r="AO298" s="53">
        <f>G298*0.952215364</f>
        <v>0</v>
      </c>
      <c r="AP298" s="53">
        <f>G298*(1-0.952215364)</f>
        <v>0</v>
      </c>
      <c r="AQ298" s="54" t="s">
        <v>110</v>
      </c>
      <c r="AV298" s="53">
        <f>ROUND(AW298+AX298,2)</f>
        <v>0</v>
      </c>
      <c r="AW298" s="53">
        <f>ROUND(F298*AO298,2)</f>
        <v>0</v>
      </c>
      <c r="AX298" s="53">
        <f>ROUND(F298*AP298,2)</f>
        <v>0</v>
      </c>
      <c r="AY298" s="54" t="s">
        <v>964</v>
      </c>
      <c r="AZ298" s="54" t="s">
        <v>965</v>
      </c>
      <c r="BA298" s="36" t="s">
        <v>116</v>
      </c>
      <c r="BC298" s="53">
        <f>AW298+AX298</f>
        <v>0</v>
      </c>
      <c r="BD298" s="53">
        <f>G298/(100-BE298)*100</f>
        <v>0</v>
      </c>
      <c r="BE298" s="53">
        <v>0</v>
      </c>
      <c r="BF298" s="53">
        <f>298</f>
        <v>298</v>
      </c>
      <c r="BH298" s="53">
        <f>F298*AO298</f>
        <v>0</v>
      </c>
      <c r="BI298" s="53">
        <f>F298*AP298</f>
        <v>0</v>
      </c>
      <c r="BJ298" s="53">
        <f>F298*G298</f>
        <v>0</v>
      </c>
      <c r="BK298" s="54" t="s">
        <v>117</v>
      </c>
      <c r="BL298" s="53">
        <v>89</v>
      </c>
      <c r="BW298" s="53">
        <v>21</v>
      </c>
      <c r="BX298" s="3" t="s">
        <v>968</v>
      </c>
    </row>
    <row r="299" spans="1:76" ht="25" x14ac:dyDescent="0.35">
      <c r="A299" s="1" t="s">
        <v>969</v>
      </c>
      <c r="B299" s="2" t="s">
        <v>970</v>
      </c>
      <c r="C299" s="91" t="s">
        <v>971</v>
      </c>
      <c r="D299" s="88"/>
      <c r="E299" s="2" t="s">
        <v>121</v>
      </c>
      <c r="F299" s="53">
        <v>1</v>
      </c>
      <c r="G299" s="77">
        <v>0</v>
      </c>
      <c r="H299" s="53">
        <f>ROUND(F299*G299,2)</f>
        <v>0</v>
      </c>
      <c r="I299" s="79" t="s">
        <v>1688</v>
      </c>
      <c r="J299" s="49"/>
      <c r="Z299" s="53">
        <f>ROUND(IF(AQ299="5",BJ299,0),2)</f>
        <v>0</v>
      </c>
      <c r="AB299" s="53">
        <f>ROUND(IF(AQ299="1",BH299,0),2)</f>
        <v>0</v>
      </c>
      <c r="AC299" s="53">
        <f>ROUND(IF(AQ299="1",BI299,0),2)</f>
        <v>0</v>
      </c>
      <c r="AD299" s="53">
        <f>ROUND(IF(AQ299="7",BH299,0),2)</f>
        <v>0</v>
      </c>
      <c r="AE299" s="53">
        <f>ROUND(IF(AQ299="7",BI299,0),2)</f>
        <v>0</v>
      </c>
      <c r="AF299" s="53">
        <f>ROUND(IF(AQ299="2",BH299,0),2)</f>
        <v>0</v>
      </c>
      <c r="AG299" s="53">
        <f>ROUND(IF(AQ299="2",BI299,0),2)</f>
        <v>0</v>
      </c>
      <c r="AH299" s="53">
        <f>ROUND(IF(AQ299="0",BJ299,0),2)</f>
        <v>0</v>
      </c>
      <c r="AI299" s="36" t="s">
        <v>10</v>
      </c>
      <c r="AJ299" s="53">
        <f>IF(AN299=0,H299,0)</f>
        <v>0</v>
      </c>
      <c r="AK299" s="53">
        <f>IF(AN299=12,H299,0)</f>
        <v>0</v>
      </c>
      <c r="AL299" s="53">
        <f>IF(AN299=21,H299,0)</f>
        <v>0</v>
      </c>
      <c r="AN299" s="53">
        <v>21</v>
      </c>
      <c r="AO299" s="53">
        <f>G299*0.906287771</f>
        <v>0</v>
      </c>
      <c r="AP299" s="53">
        <f>G299*(1-0.906287771)</f>
        <v>0</v>
      </c>
      <c r="AQ299" s="54" t="s">
        <v>110</v>
      </c>
      <c r="AV299" s="53">
        <f>ROUND(AW299+AX299,2)</f>
        <v>0</v>
      </c>
      <c r="AW299" s="53">
        <f>ROUND(F299*AO299,2)</f>
        <v>0</v>
      </c>
      <c r="AX299" s="53">
        <f>ROUND(F299*AP299,2)</f>
        <v>0</v>
      </c>
      <c r="AY299" s="54" t="s">
        <v>964</v>
      </c>
      <c r="AZ299" s="54" t="s">
        <v>965</v>
      </c>
      <c r="BA299" s="36" t="s">
        <v>116</v>
      </c>
      <c r="BC299" s="53">
        <f>AW299+AX299</f>
        <v>0</v>
      </c>
      <c r="BD299" s="53">
        <f>G299/(100-BE299)*100</f>
        <v>0</v>
      </c>
      <c r="BE299" s="53">
        <v>0</v>
      </c>
      <c r="BF299" s="53">
        <f>299</f>
        <v>299</v>
      </c>
      <c r="BH299" s="53">
        <f>F299*AO299</f>
        <v>0</v>
      </c>
      <c r="BI299" s="53">
        <f>F299*AP299</f>
        <v>0</v>
      </c>
      <c r="BJ299" s="53">
        <f>F299*G299</f>
        <v>0</v>
      </c>
      <c r="BK299" s="54" t="s">
        <v>117</v>
      </c>
      <c r="BL299" s="53">
        <v>89</v>
      </c>
      <c r="BW299" s="53">
        <v>21</v>
      </c>
      <c r="BX299" s="3" t="s">
        <v>971</v>
      </c>
    </row>
    <row r="300" spans="1:76" ht="23" x14ac:dyDescent="0.35">
      <c r="A300" s="1" t="s">
        <v>972</v>
      </c>
      <c r="B300" s="2" t="s">
        <v>973</v>
      </c>
      <c r="C300" s="91" t="s">
        <v>974</v>
      </c>
      <c r="D300" s="88"/>
      <c r="E300" s="2" t="s">
        <v>121</v>
      </c>
      <c r="F300" s="53">
        <v>1</v>
      </c>
      <c r="G300" s="77">
        <v>0</v>
      </c>
      <c r="H300" s="53">
        <f>ROUND(F300*G300,2)</f>
        <v>0</v>
      </c>
      <c r="I300" s="79" t="s">
        <v>1688</v>
      </c>
      <c r="J300" s="49"/>
      <c r="Z300" s="53">
        <f>ROUND(IF(AQ300="5",BJ300,0),2)</f>
        <v>0</v>
      </c>
      <c r="AB300" s="53">
        <f>ROUND(IF(AQ300="1",BH300,0),2)</f>
        <v>0</v>
      </c>
      <c r="AC300" s="53">
        <f>ROUND(IF(AQ300="1",BI300,0),2)</f>
        <v>0</v>
      </c>
      <c r="AD300" s="53">
        <f>ROUND(IF(AQ300="7",BH300,0),2)</f>
        <v>0</v>
      </c>
      <c r="AE300" s="53">
        <f>ROUND(IF(AQ300="7",BI300,0),2)</f>
        <v>0</v>
      </c>
      <c r="AF300" s="53">
        <f>ROUND(IF(AQ300="2",BH300,0),2)</f>
        <v>0</v>
      </c>
      <c r="AG300" s="53">
        <f>ROUND(IF(AQ300="2",BI300,0),2)</f>
        <v>0</v>
      </c>
      <c r="AH300" s="53">
        <f>ROUND(IF(AQ300="0",BJ300,0),2)</f>
        <v>0</v>
      </c>
      <c r="AI300" s="36" t="s">
        <v>10</v>
      </c>
      <c r="AJ300" s="53">
        <f>IF(AN300=0,H300,0)</f>
        <v>0</v>
      </c>
      <c r="AK300" s="53">
        <f>IF(AN300=12,H300,0)</f>
        <v>0</v>
      </c>
      <c r="AL300" s="53">
        <f>IF(AN300=21,H300,0)</f>
        <v>0</v>
      </c>
      <c r="AN300" s="53">
        <v>21</v>
      </c>
      <c r="AO300" s="53">
        <f>G300*0.486727431</f>
        <v>0</v>
      </c>
      <c r="AP300" s="53">
        <f>G300*(1-0.486727431)</f>
        <v>0</v>
      </c>
      <c r="AQ300" s="54" t="s">
        <v>110</v>
      </c>
      <c r="AV300" s="53">
        <f>ROUND(AW300+AX300,2)</f>
        <v>0</v>
      </c>
      <c r="AW300" s="53">
        <f>ROUND(F300*AO300,2)</f>
        <v>0</v>
      </c>
      <c r="AX300" s="53">
        <f>ROUND(F300*AP300,2)</f>
        <v>0</v>
      </c>
      <c r="AY300" s="54" t="s">
        <v>964</v>
      </c>
      <c r="AZ300" s="54" t="s">
        <v>965</v>
      </c>
      <c r="BA300" s="36" t="s">
        <v>116</v>
      </c>
      <c r="BC300" s="53">
        <f>AW300+AX300</f>
        <v>0</v>
      </c>
      <c r="BD300" s="53">
        <f>G300/(100-BE300)*100</f>
        <v>0</v>
      </c>
      <c r="BE300" s="53">
        <v>0</v>
      </c>
      <c r="BF300" s="53">
        <f>300</f>
        <v>300</v>
      </c>
      <c r="BH300" s="53">
        <f>F300*AO300</f>
        <v>0</v>
      </c>
      <c r="BI300" s="53">
        <f>F300*AP300</f>
        <v>0</v>
      </c>
      <c r="BJ300" s="53">
        <f>F300*G300</f>
        <v>0</v>
      </c>
      <c r="BK300" s="54" t="s">
        <v>117</v>
      </c>
      <c r="BL300" s="53">
        <v>89</v>
      </c>
      <c r="BW300" s="53">
        <v>21</v>
      </c>
      <c r="BX300" s="3" t="s">
        <v>974</v>
      </c>
    </row>
    <row r="301" spans="1:76" ht="23" x14ac:dyDescent="0.35">
      <c r="A301" s="1" t="s">
        <v>975</v>
      </c>
      <c r="B301" s="2" t="s">
        <v>976</v>
      </c>
      <c r="C301" s="91" t="s">
        <v>977</v>
      </c>
      <c r="D301" s="88"/>
      <c r="E301" s="2" t="s">
        <v>434</v>
      </c>
      <c r="F301" s="53">
        <v>3</v>
      </c>
      <c r="G301" s="77">
        <v>0</v>
      </c>
      <c r="H301" s="53">
        <f>ROUND(F301*G301,2)</f>
        <v>0</v>
      </c>
      <c r="I301" s="79" t="s">
        <v>1688</v>
      </c>
      <c r="J301" s="49"/>
      <c r="Z301" s="53">
        <f>ROUND(IF(AQ301="5",BJ301,0),2)</f>
        <v>0</v>
      </c>
      <c r="AB301" s="53">
        <f>ROUND(IF(AQ301="1",BH301,0),2)</f>
        <v>0</v>
      </c>
      <c r="AC301" s="53">
        <f>ROUND(IF(AQ301="1",BI301,0),2)</f>
        <v>0</v>
      </c>
      <c r="AD301" s="53">
        <f>ROUND(IF(AQ301="7",BH301,0),2)</f>
        <v>0</v>
      </c>
      <c r="AE301" s="53">
        <f>ROUND(IF(AQ301="7",BI301,0),2)</f>
        <v>0</v>
      </c>
      <c r="AF301" s="53">
        <f>ROUND(IF(AQ301="2",BH301,0),2)</f>
        <v>0</v>
      </c>
      <c r="AG301" s="53">
        <f>ROUND(IF(AQ301="2",BI301,0),2)</f>
        <v>0</v>
      </c>
      <c r="AH301" s="53">
        <f>ROUND(IF(AQ301="0",BJ301,0),2)</f>
        <v>0</v>
      </c>
      <c r="AI301" s="36" t="s">
        <v>10</v>
      </c>
      <c r="AJ301" s="53">
        <f>IF(AN301=0,H301,0)</f>
        <v>0</v>
      </c>
      <c r="AK301" s="53">
        <f>IF(AN301=12,H301,0)</f>
        <v>0</v>
      </c>
      <c r="AL301" s="53">
        <f>IF(AN301=21,H301,0)</f>
        <v>0</v>
      </c>
      <c r="AN301" s="53">
        <v>21</v>
      </c>
      <c r="AO301" s="53">
        <f>G301*0.179770241</f>
        <v>0</v>
      </c>
      <c r="AP301" s="53">
        <f>G301*(1-0.179770241)</f>
        <v>0</v>
      </c>
      <c r="AQ301" s="54" t="s">
        <v>110</v>
      </c>
      <c r="AV301" s="53">
        <f>ROUND(AW301+AX301,2)</f>
        <v>0</v>
      </c>
      <c r="AW301" s="53">
        <f>ROUND(F301*AO301,2)</f>
        <v>0</v>
      </c>
      <c r="AX301" s="53">
        <f>ROUND(F301*AP301,2)</f>
        <v>0</v>
      </c>
      <c r="AY301" s="54" t="s">
        <v>964</v>
      </c>
      <c r="AZ301" s="54" t="s">
        <v>965</v>
      </c>
      <c r="BA301" s="36" t="s">
        <v>116</v>
      </c>
      <c r="BC301" s="53">
        <f>AW301+AX301</f>
        <v>0</v>
      </c>
      <c r="BD301" s="53">
        <f>G301/(100-BE301)*100</f>
        <v>0</v>
      </c>
      <c r="BE301" s="53">
        <v>0</v>
      </c>
      <c r="BF301" s="53">
        <f>301</f>
        <v>301</v>
      </c>
      <c r="BH301" s="53">
        <f>F301*AO301</f>
        <v>0</v>
      </c>
      <c r="BI301" s="53">
        <f>F301*AP301</f>
        <v>0</v>
      </c>
      <c r="BJ301" s="53">
        <f>F301*G301</f>
        <v>0</v>
      </c>
      <c r="BK301" s="54" t="s">
        <v>117</v>
      </c>
      <c r="BL301" s="53">
        <v>89</v>
      </c>
      <c r="BW301" s="53">
        <v>21</v>
      </c>
      <c r="BX301" s="3" t="s">
        <v>977</v>
      </c>
    </row>
    <row r="302" spans="1:76" ht="14.5" x14ac:dyDescent="0.35">
      <c r="A302" s="50" t="s">
        <v>10</v>
      </c>
      <c r="B302" s="51" t="s">
        <v>441</v>
      </c>
      <c r="C302" s="172" t="s">
        <v>978</v>
      </c>
      <c r="D302" s="173"/>
      <c r="E302" s="52" t="s">
        <v>75</v>
      </c>
      <c r="F302" s="52" t="s">
        <v>75</v>
      </c>
      <c r="G302" s="52" t="s">
        <v>75</v>
      </c>
      <c r="H302" s="28">
        <f>SUM(H303:H303)</f>
        <v>0</v>
      </c>
      <c r="I302" s="36" t="s">
        <v>10</v>
      </c>
      <c r="J302" s="49"/>
      <c r="AI302" s="36" t="s">
        <v>10</v>
      </c>
      <c r="AS302" s="28">
        <f>SUM(AJ303:AJ303)</f>
        <v>0</v>
      </c>
      <c r="AT302" s="28">
        <f>SUM(AK303:AK303)</f>
        <v>0</v>
      </c>
      <c r="AU302" s="28">
        <f>SUM(AL303:AL303)</f>
        <v>0</v>
      </c>
    </row>
    <row r="303" spans="1:76" ht="23" x14ac:dyDescent="0.35">
      <c r="A303" s="1" t="s">
        <v>979</v>
      </c>
      <c r="B303" s="2" t="s">
        <v>980</v>
      </c>
      <c r="C303" s="91" t="s">
        <v>981</v>
      </c>
      <c r="D303" s="88"/>
      <c r="E303" s="2" t="s">
        <v>113</v>
      </c>
      <c r="F303" s="53">
        <v>546.21</v>
      </c>
      <c r="G303" s="77">
        <v>0</v>
      </c>
      <c r="H303" s="53">
        <f>ROUND(F303*G303,2)</f>
        <v>0</v>
      </c>
      <c r="I303" s="79" t="s">
        <v>1688</v>
      </c>
      <c r="J303" s="49"/>
      <c r="Z303" s="53">
        <f>ROUND(IF(AQ303="5",BJ303,0),2)</f>
        <v>0</v>
      </c>
      <c r="AB303" s="53">
        <f>ROUND(IF(AQ303="1",BH303,0),2)</f>
        <v>0</v>
      </c>
      <c r="AC303" s="53">
        <f>ROUND(IF(AQ303="1",BI303,0),2)</f>
        <v>0</v>
      </c>
      <c r="AD303" s="53">
        <f>ROUND(IF(AQ303="7",BH303,0),2)</f>
        <v>0</v>
      </c>
      <c r="AE303" s="53">
        <f>ROUND(IF(AQ303="7",BI303,0),2)</f>
        <v>0</v>
      </c>
      <c r="AF303" s="53">
        <f>ROUND(IF(AQ303="2",BH303,0),2)</f>
        <v>0</v>
      </c>
      <c r="AG303" s="53">
        <f>ROUND(IF(AQ303="2",BI303,0),2)</f>
        <v>0</v>
      </c>
      <c r="AH303" s="53">
        <f>ROUND(IF(AQ303="0",BJ303,0),2)</f>
        <v>0</v>
      </c>
      <c r="AI303" s="36" t="s">
        <v>10</v>
      </c>
      <c r="AJ303" s="53">
        <f>IF(AN303=0,H303,0)</f>
        <v>0</v>
      </c>
      <c r="AK303" s="53">
        <f>IF(AN303=12,H303,0)</f>
        <v>0</v>
      </c>
      <c r="AL303" s="53">
        <f>IF(AN303=21,H303,0)</f>
        <v>0</v>
      </c>
      <c r="AN303" s="53">
        <v>21</v>
      </c>
      <c r="AO303" s="53">
        <f>G303*0.334571376</f>
        <v>0</v>
      </c>
      <c r="AP303" s="53">
        <f>G303*(1-0.334571376)</f>
        <v>0</v>
      </c>
      <c r="AQ303" s="54" t="s">
        <v>110</v>
      </c>
      <c r="AV303" s="53">
        <f>ROUND(AW303+AX303,2)</f>
        <v>0</v>
      </c>
      <c r="AW303" s="53">
        <f>ROUND(F303*AO303,2)</f>
        <v>0</v>
      </c>
      <c r="AX303" s="53">
        <f>ROUND(F303*AP303,2)</f>
        <v>0</v>
      </c>
      <c r="AY303" s="54" t="s">
        <v>982</v>
      </c>
      <c r="AZ303" s="54" t="s">
        <v>983</v>
      </c>
      <c r="BA303" s="36" t="s">
        <v>116</v>
      </c>
      <c r="BC303" s="53">
        <f>AW303+AX303</f>
        <v>0</v>
      </c>
      <c r="BD303" s="53">
        <f>G303/(100-BE303)*100</f>
        <v>0</v>
      </c>
      <c r="BE303" s="53">
        <v>0</v>
      </c>
      <c r="BF303" s="53">
        <f>303</f>
        <v>303</v>
      </c>
      <c r="BH303" s="53">
        <f>F303*AO303</f>
        <v>0</v>
      </c>
      <c r="BI303" s="53">
        <f>F303*AP303</f>
        <v>0</v>
      </c>
      <c r="BJ303" s="53">
        <f>F303*G303</f>
        <v>0</v>
      </c>
      <c r="BK303" s="54" t="s">
        <v>117</v>
      </c>
      <c r="BL303" s="53">
        <v>94</v>
      </c>
      <c r="BW303" s="53">
        <v>21</v>
      </c>
      <c r="BX303" s="3" t="s">
        <v>981</v>
      </c>
    </row>
    <row r="304" spans="1:76" ht="14.5" x14ac:dyDescent="0.35">
      <c r="A304" s="50" t="s">
        <v>10</v>
      </c>
      <c r="B304" s="51" t="s">
        <v>444</v>
      </c>
      <c r="C304" s="172" t="s">
        <v>984</v>
      </c>
      <c r="D304" s="173"/>
      <c r="E304" s="52" t="s">
        <v>75</v>
      </c>
      <c r="F304" s="52" t="s">
        <v>75</v>
      </c>
      <c r="G304" s="52" t="s">
        <v>75</v>
      </c>
      <c r="H304" s="28">
        <f>SUM(H305:H311)</f>
        <v>0</v>
      </c>
      <c r="I304" s="36" t="s">
        <v>10</v>
      </c>
      <c r="J304" s="49"/>
      <c r="AI304" s="36" t="s">
        <v>10</v>
      </c>
      <c r="AS304" s="28">
        <f>SUM(AJ305:AJ311)</f>
        <v>0</v>
      </c>
      <c r="AT304" s="28">
        <f>SUM(AK305:AK311)</f>
        <v>0</v>
      </c>
      <c r="AU304" s="28">
        <f>SUM(AL305:AL311)</f>
        <v>0</v>
      </c>
    </row>
    <row r="305" spans="1:76" ht="23" x14ac:dyDescent="0.35">
      <c r="A305" s="1" t="s">
        <v>985</v>
      </c>
      <c r="B305" s="2" t="s">
        <v>986</v>
      </c>
      <c r="C305" s="91" t="s">
        <v>987</v>
      </c>
      <c r="D305" s="88"/>
      <c r="E305" s="2" t="s">
        <v>113</v>
      </c>
      <c r="F305" s="53">
        <v>714.42</v>
      </c>
      <c r="G305" s="77">
        <v>0</v>
      </c>
      <c r="H305" s="53">
        <f t="shared" ref="H305:H311" si="364">ROUND(F305*G305,2)</f>
        <v>0</v>
      </c>
      <c r="I305" s="79" t="s">
        <v>1688</v>
      </c>
      <c r="J305" s="49"/>
      <c r="Z305" s="53">
        <f t="shared" ref="Z305:Z311" si="365">ROUND(IF(AQ305="5",BJ305,0),2)</f>
        <v>0</v>
      </c>
      <c r="AB305" s="53">
        <f t="shared" ref="AB305:AB311" si="366">ROUND(IF(AQ305="1",BH305,0),2)</f>
        <v>0</v>
      </c>
      <c r="AC305" s="53">
        <f t="shared" ref="AC305:AC311" si="367">ROUND(IF(AQ305="1",BI305,0),2)</f>
        <v>0</v>
      </c>
      <c r="AD305" s="53">
        <f t="shared" ref="AD305:AD311" si="368">ROUND(IF(AQ305="7",BH305,0),2)</f>
        <v>0</v>
      </c>
      <c r="AE305" s="53">
        <f t="shared" ref="AE305:AE311" si="369">ROUND(IF(AQ305="7",BI305,0),2)</f>
        <v>0</v>
      </c>
      <c r="AF305" s="53">
        <f t="shared" ref="AF305:AF311" si="370">ROUND(IF(AQ305="2",BH305,0),2)</f>
        <v>0</v>
      </c>
      <c r="AG305" s="53">
        <f t="shared" ref="AG305:AG311" si="371">ROUND(IF(AQ305="2",BI305,0),2)</f>
        <v>0</v>
      </c>
      <c r="AH305" s="53">
        <f t="shared" ref="AH305:AH311" si="372">ROUND(IF(AQ305="0",BJ305,0),2)</f>
        <v>0</v>
      </c>
      <c r="AI305" s="36" t="s">
        <v>10</v>
      </c>
      <c r="AJ305" s="53">
        <f t="shared" ref="AJ305:AJ311" si="373">IF(AN305=0,H305,0)</f>
        <v>0</v>
      </c>
      <c r="AK305" s="53">
        <f t="shared" ref="AK305:AK311" si="374">IF(AN305=12,H305,0)</f>
        <v>0</v>
      </c>
      <c r="AL305" s="53">
        <f t="shared" ref="AL305:AL311" si="375">IF(AN305=21,H305,0)</f>
        <v>0</v>
      </c>
      <c r="AN305" s="53">
        <v>21</v>
      </c>
      <c r="AO305" s="53">
        <f>G305*0.012649383</f>
        <v>0</v>
      </c>
      <c r="AP305" s="53">
        <f>G305*(1-0.012649383)</f>
        <v>0</v>
      </c>
      <c r="AQ305" s="54" t="s">
        <v>110</v>
      </c>
      <c r="AV305" s="53">
        <f t="shared" ref="AV305:AV311" si="376">ROUND(AW305+AX305,2)</f>
        <v>0</v>
      </c>
      <c r="AW305" s="53">
        <f t="shared" ref="AW305:AW311" si="377">ROUND(F305*AO305,2)</f>
        <v>0</v>
      </c>
      <c r="AX305" s="53">
        <f t="shared" ref="AX305:AX311" si="378">ROUND(F305*AP305,2)</f>
        <v>0</v>
      </c>
      <c r="AY305" s="54" t="s">
        <v>988</v>
      </c>
      <c r="AZ305" s="54" t="s">
        <v>983</v>
      </c>
      <c r="BA305" s="36" t="s">
        <v>116</v>
      </c>
      <c r="BC305" s="53">
        <f t="shared" ref="BC305:BC311" si="379">AW305+AX305</f>
        <v>0</v>
      </c>
      <c r="BD305" s="53">
        <f t="shared" ref="BD305:BD311" si="380">G305/(100-BE305)*100</f>
        <v>0</v>
      </c>
      <c r="BE305" s="53">
        <v>0</v>
      </c>
      <c r="BF305" s="53">
        <f>305</f>
        <v>305</v>
      </c>
      <c r="BH305" s="53">
        <f t="shared" ref="BH305:BH311" si="381">F305*AO305</f>
        <v>0</v>
      </c>
      <c r="BI305" s="53">
        <f t="shared" ref="BI305:BI311" si="382">F305*AP305</f>
        <v>0</v>
      </c>
      <c r="BJ305" s="53">
        <f t="shared" ref="BJ305:BJ311" si="383">F305*G305</f>
        <v>0</v>
      </c>
      <c r="BK305" s="54" t="s">
        <v>117</v>
      </c>
      <c r="BL305" s="53">
        <v>95</v>
      </c>
      <c r="BW305" s="53">
        <v>21</v>
      </c>
      <c r="BX305" s="3" t="s">
        <v>987</v>
      </c>
    </row>
    <row r="306" spans="1:76" ht="25" x14ac:dyDescent="0.35">
      <c r="A306" s="1" t="s">
        <v>989</v>
      </c>
      <c r="B306" s="2" t="s">
        <v>990</v>
      </c>
      <c r="C306" s="91" t="s">
        <v>991</v>
      </c>
      <c r="D306" s="88"/>
      <c r="E306" s="2" t="s">
        <v>113</v>
      </c>
      <c r="F306" s="53">
        <v>6400</v>
      </c>
      <c r="G306" s="77">
        <v>0</v>
      </c>
      <c r="H306" s="53">
        <f t="shared" si="364"/>
        <v>0</v>
      </c>
      <c r="I306" s="79" t="s">
        <v>1688</v>
      </c>
      <c r="J306" s="49"/>
      <c r="Z306" s="53">
        <f t="shared" si="365"/>
        <v>0</v>
      </c>
      <c r="AB306" s="53">
        <f t="shared" si="366"/>
        <v>0</v>
      </c>
      <c r="AC306" s="53">
        <f t="shared" si="367"/>
        <v>0</v>
      </c>
      <c r="AD306" s="53">
        <f t="shared" si="368"/>
        <v>0</v>
      </c>
      <c r="AE306" s="53">
        <f t="shared" si="369"/>
        <v>0</v>
      </c>
      <c r="AF306" s="53">
        <f t="shared" si="370"/>
        <v>0</v>
      </c>
      <c r="AG306" s="53">
        <f t="shared" si="371"/>
        <v>0</v>
      </c>
      <c r="AH306" s="53">
        <f t="shared" si="372"/>
        <v>0</v>
      </c>
      <c r="AI306" s="36" t="s">
        <v>10</v>
      </c>
      <c r="AJ306" s="53">
        <f t="shared" si="373"/>
        <v>0</v>
      </c>
      <c r="AK306" s="53">
        <f t="shared" si="374"/>
        <v>0</v>
      </c>
      <c r="AL306" s="53">
        <f t="shared" si="375"/>
        <v>0</v>
      </c>
      <c r="AN306" s="53">
        <v>21</v>
      </c>
      <c r="AO306" s="53">
        <f>G306*0</f>
        <v>0</v>
      </c>
      <c r="AP306" s="53">
        <f>G306*(1-0)</f>
        <v>0</v>
      </c>
      <c r="AQ306" s="54" t="s">
        <v>110</v>
      </c>
      <c r="AV306" s="53">
        <f t="shared" si="376"/>
        <v>0</v>
      </c>
      <c r="AW306" s="53">
        <f t="shared" si="377"/>
        <v>0</v>
      </c>
      <c r="AX306" s="53">
        <f t="shared" si="378"/>
        <v>0</v>
      </c>
      <c r="AY306" s="54" t="s">
        <v>988</v>
      </c>
      <c r="AZ306" s="54" t="s">
        <v>983</v>
      </c>
      <c r="BA306" s="36" t="s">
        <v>116</v>
      </c>
      <c r="BC306" s="53">
        <f t="shared" si="379"/>
        <v>0</v>
      </c>
      <c r="BD306" s="53">
        <f t="shared" si="380"/>
        <v>0</v>
      </c>
      <c r="BE306" s="53">
        <v>0</v>
      </c>
      <c r="BF306" s="53">
        <f>306</f>
        <v>306</v>
      </c>
      <c r="BH306" s="53">
        <f t="shared" si="381"/>
        <v>0</v>
      </c>
      <c r="BI306" s="53">
        <f t="shared" si="382"/>
        <v>0</v>
      </c>
      <c r="BJ306" s="53">
        <f t="shared" si="383"/>
        <v>0</v>
      </c>
      <c r="BK306" s="54" t="s">
        <v>117</v>
      </c>
      <c r="BL306" s="53">
        <v>95</v>
      </c>
      <c r="BW306" s="53">
        <v>21</v>
      </c>
      <c r="BX306" s="3" t="s">
        <v>991</v>
      </c>
    </row>
    <row r="307" spans="1:76" ht="23" x14ac:dyDescent="0.35">
      <c r="A307" s="1" t="s">
        <v>992</v>
      </c>
      <c r="B307" s="2" t="s">
        <v>993</v>
      </c>
      <c r="C307" s="91" t="s">
        <v>994</v>
      </c>
      <c r="D307" s="88"/>
      <c r="E307" s="2" t="s">
        <v>424</v>
      </c>
      <c r="F307" s="53">
        <v>4</v>
      </c>
      <c r="G307" s="77">
        <v>0</v>
      </c>
      <c r="H307" s="53">
        <f t="shared" si="364"/>
        <v>0</v>
      </c>
      <c r="I307" s="79" t="s">
        <v>1688</v>
      </c>
      <c r="J307" s="49"/>
      <c r="Z307" s="53">
        <f t="shared" si="365"/>
        <v>0</v>
      </c>
      <c r="AB307" s="53">
        <f t="shared" si="366"/>
        <v>0</v>
      </c>
      <c r="AC307" s="53">
        <f t="shared" si="367"/>
        <v>0</v>
      </c>
      <c r="AD307" s="53">
        <f t="shared" si="368"/>
        <v>0</v>
      </c>
      <c r="AE307" s="53">
        <f t="shared" si="369"/>
        <v>0</v>
      </c>
      <c r="AF307" s="53">
        <f t="shared" si="370"/>
        <v>0</v>
      </c>
      <c r="AG307" s="53">
        <f t="shared" si="371"/>
        <v>0</v>
      </c>
      <c r="AH307" s="53">
        <f t="shared" si="372"/>
        <v>0</v>
      </c>
      <c r="AI307" s="36" t="s">
        <v>10</v>
      </c>
      <c r="AJ307" s="53">
        <f t="shared" si="373"/>
        <v>0</v>
      </c>
      <c r="AK307" s="53">
        <f t="shared" si="374"/>
        <v>0</v>
      </c>
      <c r="AL307" s="53">
        <f t="shared" si="375"/>
        <v>0</v>
      </c>
      <c r="AN307" s="53">
        <v>21</v>
      </c>
      <c r="AO307" s="53">
        <f>G307*0.495754682</f>
        <v>0</v>
      </c>
      <c r="AP307" s="53">
        <f>G307*(1-0.495754682)</f>
        <v>0</v>
      </c>
      <c r="AQ307" s="54" t="s">
        <v>110</v>
      </c>
      <c r="AV307" s="53">
        <f t="shared" si="376"/>
        <v>0</v>
      </c>
      <c r="AW307" s="53">
        <f t="shared" si="377"/>
        <v>0</v>
      </c>
      <c r="AX307" s="53">
        <f t="shared" si="378"/>
        <v>0</v>
      </c>
      <c r="AY307" s="54" t="s">
        <v>988</v>
      </c>
      <c r="AZ307" s="54" t="s">
        <v>983</v>
      </c>
      <c r="BA307" s="36" t="s">
        <v>116</v>
      </c>
      <c r="BC307" s="53">
        <f t="shared" si="379"/>
        <v>0</v>
      </c>
      <c r="BD307" s="53">
        <f t="shared" si="380"/>
        <v>0</v>
      </c>
      <c r="BE307" s="53">
        <v>0</v>
      </c>
      <c r="BF307" s="53">
        <f>307</f>
        <v>307</v>
      </c>
      <c r="BH307" s="53">
        <f t="shared" si="381"/>
        <v>0</v>
      </c>
      <c r="BI307" s="53">
        <f t="shared" si="382"/>
        <v>0</v>
      </c>
      <c r="BJ307" s="53">
        <f t="shared" si="383"/>
        <v>0</v>
      </c>
      <c r="BK307" s="54" t="s">
        <v>117</v>
      </c>
      <c r="BL307" s="53">
        <v>95</v>
      </c>
      <c r="BW307" s="53">
        <v>21</v>
      </c>
      <c r="BX307" s="3" t="s">
        <v>994</v>
      </c>
    </row>
    <row r="308" spans="1:76" ht="23" x14ac:dyDescent="0.35">
      <c r="A308" s="1" t="s">
        <v>995</v>
      </c>
      <c r="B308" s="2" t="s">
        <v>996</v>
      </c>
      <c r="C308" s="91" t="s">
        <v>997</v>
      </c>
      <c r="D308" s="88"/>
      <c r="E308" s="2" t="s">
        <v>414</v>
      </c>
      <c r="F308" s="53">
        <v>1</v>
      </c>
      <c r="G308" s="77">
        <v>0</v>
      </c>
      <c r="H308" s="53">
        <f t="shared" si="364"/>
        <v>0</v>
      </c>
      <c r="I308" s="79" t="s">
        <v>1688</v>
      </c>
      <c r="J308" s="49"/>
      <c r="Z308" s="53">
        <f t="shared" si="365"/>
        <v>0</v>
      </c>
      <c r="AB308" s="53">
        <f t="shared" si="366"/>
        <v>0</v>
      </c>
      <c r="AC308" s="53">
        <f t="shared" si="367"/>
        <v>0</v>
      </c>
      <c r="AD308" s="53">
        <f t="shared" si="368"/>
        <v>0</v>
      </c>
      <c r="AE308" s="53">
        <f t="shared" si="369"/>
        <v>0</v>
      </c>
      <c r="AF308" s="53">
        <f t="shared" si="370"/>
        <v>0</v>
      </c>
      <c r="AG308" s="53">
        <f t="shared" si="371"/>
        <v>0</v>
      </c>
      <c r="AH308" s="53">
        <f t="shared" si="372"/>
        <v>0</v>
      </c>
      <c r="AI308" s="36" t="s">
        <v>10</v>
      </c>
      <c r="AJ308" s="53">
        <f t="shared" si="373"/>
        <v>0</v>
      </c>
      <c r="AK308" s="53">
        <f t="shared" si="374"/>
        <v>0</v>
      </c>
      <c r="AL308" s="53">
        <f t="shared" si="375"/>
        <v>0</v>
      </c>
      <c r="AN308" s="53">
        <v>21</v>
      </c>
      <c r="AO308" s="53">
        <f>G308*0</f>
        <v>0</v>
      </c>
      <c r="AP308" s="53">
        <f>G308*(1-0)</f>
        <v>0</v>
      </c>
      <c r="AQ308" s="54" t="s">
        <v>110</v>
      </c>
      <c r="AV308" s="53">
        <f t="shared" si="376"/>
        <v>0</v>
      </c>
      <c r="AW308" s="53">
        <f t="shared" si="377"/>
        <v>0</v>
      </c>
      <c r="AX308" s="53">
        <f t="shared" si="378"/>
        <v>0</v>
      </c>
      <c r="AY308" s="54" t="s">
        <v>988</v>
      </c>
      <c r="AZ308" s="54" t="s">
        <v>983</v>
      </c>
      <c r="BA308" s="36" t="s">
        <v>116</v>
      </c>
      <c r="BC308" s="53">
        <f t="shared" si="379"/>
        <v>0</v>
      </c>
      <c r="BD308" s="53">
        <f t="shared" si="380"/>
        <v>0</v>
      </c>
      <c r="BE308" s="53">
        <v>0</v>
      </c>
      <c r="BF308" s="53">
        <f>308</f>
        <v>308</v>
      </c>
      <c r="BH308" s="53">
        <f t="shared" si="381"/>
        <v>0</v>
      </c>
      <c r="BI308" s="53">
        <f t="shared" si="382"/>
        <v>0</v>
      </c>
      <c r="BJ308" s="53">
        <f t="shared" si="383"/>
        <v>0</v>
      </c>
      <c r="BK308" s="54" t="s">
        <v>117</v>
      </c>
      <c r="BL308" s="53">
        <v>95</v>
      </c>
      <c r="BW308" s="53">
        <v>21</v>
      </c>
      <c r="BX308" s="3" t="s">
        <v>997</v>
      </c>
    </row>
    <row r="309" spans="1:76" ht="23" x14ac:dyDescent="0.35">
      <c r="A309" s="1" t="s">
        <v>998</v>
      </c>
      <c r="B309" s="2" t="s">
        <v>996</v>
      </c>
      <c r="C309" s="91" t="s">
        <v>999</v>
      </c>
      <c r="D309" s="88"/>
      <c r="E309" s="2" t="s">
        <v>414</v>
      </c>
      <c r="F309" s="53">
        <v>1</v>
      </c>
      <c r="G309" s="77">
        <v>0</v>
      </c>
      <c r="H309" s="53">
        <f t="shared" si="364"/>
        <v>0</v>
      </c>
      <c r="I309" s="79" t="s">
        <v>1688</v>
      </c>
      <c r="J309" s="49"/>
      <c r="Z309" s="53">
        <f t="shared" si="365"/>
        <v>0</v>
      </c>
      <c r="AB309" s="53">
        <f t="shared" si="366"/>
        <v>0</v>
      </c>
      <c r="AC309" s="53">
        <f t="shared" si="367"/>
        <v>0</v>
      </c>
      <c r="AD309" s="53">
        <f t="shared" si="368"/>
        <v>0</v>
      </c>
      <c r="AE309" s="53">
        <f t="shared" si="369"/>
        <v>0</v>
      </c>
      <c r="AF309" s="53">
        <f t="shared" si="370"/>
        <v>0</v>
      </c>
      <c r="AG309" s="53">
        <f t="shared" si="371"/>
        <v>0</v>
      </c>
      <c r="AH309" s="53">
        <f t="shared" si="372"/>
        <v>0</v>
      </c>
      <c r="AI309" s="36" t="s">
        <v>10</v>
      </c>
      <c r="AJ309" s="53">
        <f t="shared" si="373"/>
        <v>0</v>
      </c>
      <c r="AK309" s="53">
        <f t="shared" si="374"/>
        <v>0</v>
      </c>
      <c r="AL309" s="53">
        <f t="shared" si="375"/>
        <v>0</v>
      </c>
      <c r="AN309" s="53">
        <v>21</v>
      </c>
      <c r="AO309" s="53">
        <f>G309*0</f>
        <v>0</v>
      </c>
      <c r="AP309" s="53">
        <f>G309*(1-0)</f>
        <v>0</v>
      </c>
      <c r="AQ309" s="54" t="s">
        <v>110</v>
      </c>
      <c r="AV309" s="53">
        <f t="shared" si="376"/>
        <v>0</v>
      </c>
      <c r="AW309" s="53">
        <f t="shared" si="377"/>
        <v>0</v>
      </c>
      <c r="AX309" s="53">
        <f t="shared" si="378"/>
        <v>0</v>
      </c>
      <c r="AY309" s="54" t="s">
        <v>988</v>
      </c>
      <c r="AZ309" s="54" t="s">
        <v>983</v>
      </c>
      <c r="BA309" s="36" t="s">
        <v>116</v>
      </c>
      <c r="BC309" s="53">
        <f t="shared" si="379"/>
        <v>0</v>
      </c>
      <c r="BD309" s="53">
        <f t="shared" si="380"/>
        <v>0</v>
      </c>
      <c r="BE309" s="53">
        <v>0</v>
      </c>
      <c r="BF309" s="53">
        <f>309</f>
        <v>309</v>
      </c>
      <c r="BH309" s="53">
        <f t="shared" si="381"/>
        <v>0</v>
      </c>
      <c r="BI309" s="53">
        <f t="shared" si="382"/>
        <v>0</v>
      </c>
      <c r="BJ309" s="53">
        <f t="shared" si="383"/>
        <v>0</v>
      </c>
      <c r="BK309" s="54" t="s">
        <v>117</v>
      </c>
      <c r="BL309" s="53">
        <v>95</v>
      </c>
      <c r="BW309" s="53">
        <v>21</v>
      </c>
      <c r="BX309" s="3" t="s">
        <v>999</v>
      </c>
    </row>
    <row r="310" spans="1:76" ht="23" x14ac:dyDescent="0.35">
      <c r="A310" s="1" t="s">
        <v>1000</v>
      </c>
      <c r="B310" s="2" t="s">
        <v>996</v>
      </c>
      <c r="C310" s="91" t="s">
        <v>1001</v>
      </c>
      <c r="D310" s="88"/>
      <c r="E310" s="2" t="s">
        <v>414</v>
      </c>
      <c r="F310" s="53">
        <v>1</v>
      </c>
      <c r="G310" s="77">
        <v>0</v>
      </c>
      <c r="H310" s="53">
        <f t="shared" si="364"/>
        <v>0</v>
      </c>
      <c r="I310" s="79" t="s">
        <v>1688</v>
      </c>
      <c r="J310" s="49"/>
      <c r="Z310" s="53">
        <f t="shared" si="365"/>
        <v>0</v>
      </c>
      <c r="AB310" s="53">
        <f t="shared" si="366"/>
        <v>0</v>
      </c>
      <c r="AC310" s="53">
        <f t="shared" si="367"/>
        <v>0</v>
      </c>
      <c r="AD310" s="53">
        <f t="shared" si="368"/>
        <v>0</v>
      </c>
      <c r="AE310" s="53">
        <f t="shared" si="369"/>
        <v>0</v>
      </c>
      <c r="AF310" s="53">
        <f t="shared" si="370"/>
        <v>0</v>
      </c>
      <c r="AG310" s="53">
        <f t="shared" si="371"/>
        <v>0</v>
      </c>
      <c r="AH310" s="53">
        <f t="shared" si="372"/>
        <v>0</v>
      </c>
      <c r="AI310" s="36" t="s">
        <v>10</v>
      </c>
      <c r="AJ310" s="53">
        <f t="shared" si="373"/>
        <v>0</v>
      </c>
      <c r="AK310" s="53">
        <f t="shared" si="374"/>
        <v>0</v>
      </c>
      <c r="AL310" s="53">
        <f t="shared" si="375"/>
        <v>0</v>
      </c>
      <c r="AN310" s="53">
        <v>21</v>
      </c>
      <c r="AO310" s="53">
        <f>G310*0</f>
        <v>0</v>
      </c>
      <c r="AP310" s="53">
        <f>G310*(1-0)</f>
        <v>0</v>
      </c>
      <c r="AQ310" s="54" t="s">
        <v>110</v>
      </c>
      <c r="AV310" s="53">
        <f t="shared" si="376"/>
        <v>0</v>
      </c>
      <c r="AW310" s="53">
        <f t="shared" si="377"/>
        <v>0</v>
      </c>
      <c r="AX310" s="53">
        <f t="shared" si="378"/>
        <v>0</v>
      </c>
      <c r="AY310" s="54" t="s">
        <v>988</v>
      </c>
      <c r="AZ310" s="54" t="s">
        <v>983</v>
      </c>
      <c r="BA310" s="36" t="s">
        <v>116</v>
      </c>
      <c r="BC310" s="53">
        <f t="shared" si="379"/>
        <v>0</v>
      </c>
      <c r="BD310" s="53">
        <f t="shared" si="380"/>
        <v>0</v>
      </c>
      <c r="BE310" s="53">
        <v>0</v>
      </c>
      <c r="BF310" s="53">
        <f>310</f>
        <v>310</v>
      </c>
      <c r="BH310" s="53">
        <f t="shared" si="381"/>
        <v>0</v>
      </c>
      <c r="BI310" s="53">
        <f t="shared" si="382"/>
        <v>0</v>
      </c>
      <c r="BJ310" s="53">
        <f t="shared" si="383"/>
        <v>0</v>
      </c>
      <c r="BK310" s="54" t="s">
        <v>117</v>
      </c>
      <c r="BL310" s="53">
        <v>95</v>
      </c>
      <c r="BW310" s="53">
        <v>21</v>
      </c>
      <c r="BX310" s="3" t="s">
        <v>1001</v>
      </c>
    </row>
    <row r="311" spans="1:76" ht="23" x14ac:dyDescent="0.35">
      <c r="A311" s="1" t="s">
        <v>1002</v>
      </c>
      <c r="B311" s="2" t="s">
        <v>1003</v>
      </c>
      <c r="C311" s="91" t="s">
        <v>1004</v>
      </c>
      <c r="D311" s="88"/>
      <c r="E311" s="2" t="s">
        <v>414</v>
      </c>
      <c r="F311" s="53">
        <v>1</v>
      </c>
      <c r="G311" s="77">
        <v>0</v>
      </c>
      <c r="H311" s="53">
        <f t="shared" si="364"/>
        <v>0</v>
      </c>
      <c r="I311" s="79" t="s">
        <v>1688</v>
      </c>
      <c r="J311" s="49"/>
      <c r="Z311" s="53">
        <f t="shared" si="365"/>
        <v>0</v>
      </c>
      <c r="AB311" s="53">
        <f t="shared" si="366"/>
        <v>0</v>
      </c>
      <c r="AC311" s="53">
        <f t="shared" si="367"/>
        <v>0</v>
      </c>
      <c r="AD311" s="53">
        <f t="shared" si="368"/>
        <v>0</v>
      </c>
      <c r="AE311" s="53">
        <f t="shared" si="369"/>
        <v>0</v>
      </c>
      <c r="AF311" s="53">
        <f t="shared" si="370"/>
        <v>0</v>
      </c>
      <c r="AG311" s="53">
        <f t="shared" si="371"/>
        <v>0</v>
      </c>
      <c r="AH311" s="53">
        <f t="shared" si="372"/>
        <v>0</v>
      </c>
      <c r="AI311" s="36" t="s">
        <v>10</v>
      </c>
      <c r="AJ311" s="53">
        <f t="shared" si="373"/>
        <v>0</v>
      </c>
      <c r="AK311" s="53">
        <f t="shared" si="374"/>
        <v>0</v>
      </c>
      <c r="AL311" s="53">
        <f t="shared" si="375"/>
        <v>0</v>
      </c>
      <c r="AN311" s="53">
        <v>21</v>
      </c>
      <c r="AO311" s="53">
        <f>G311*0.625</f>
        <v>0</v>
      </c>
      <c r="AP311" s="53">
        <f>G311*(1-0.625)</f>
        <v>0</v>
      </c>
      <c r="AQ311" s="54" t="s">
        <v>110</v>
      </c>
      <c r="AV311" s="53">
        <f t="shared" si="376"/>
        <v>0</v>
      </c>
      <c r="AW311" s="53">
        <f t="shared" si="377"/>
        <v>0</v>
      </c>
      <c r="AX311" s="53">
        <f t="shared" si="378"/>
        <v>0</v>
      </c>
      <c r="AY311" s="54" t="s">
        <v>988</v>
      </c>
      <c r="AZ311" s="54" t="s">
        <v>983</v>
      </c>
      <c r="BA311" s="36" t="s">
        <v>116</v>
      </c>
      <c r="BC311" s="53">
        <f t="shared" si="379"/>
        <v>0</v>
      </c>
      <c r="BD311" s="53">
        <f t="shared" si="380"/>
        <v>0</v>
      </c>
      <c r="BE311" s="53">
        <v>0</v>
      </c>
      <c r="BF311" s="53">
        <f>311</f>
        <v>311</v>
      </c>
      <c r="BH311" s="53">
        <f t="shared" si="381"/>
        <v>0</v>
      </c>
      <c r="BI311" s="53">
        <f t="shared" si="382"/>
        <v>0</v>
      </c>
      <c r="BJ311" s="53">
        <f t="shared" si="383"/>
        <v>0</v>
      </c>
      <c r="BK311" s="54" t="s">
        <v>117</v>
      </c>
      <c r="BL311" s="53">
        <v>95</v>
      </c>
      <c r="BW311" s="53">
        <v>21</v>
      </c>
      <c r="BX311" s="3" t="s">
        <v>1004</v>
      </c>
    </row>
    <row r="312" spans="1:76" ht="14.5" x14ac:dyDescent="0.35">
      <c r="A312" s="50" t="s">
        <v>10</v>
      </c>
      <c r="B312" s="51" t="s">
        <v>1005</v>
      </c>
      <c r="C312" s="172" t="s">
        <v>1006</v>
      </c>
      <c r="D312" s="173"/>
      <c r="E312" s="52" t="s">
        <v>75</v>
      </c>
      <c r="F312" s="52" t="s">
        <v>75</v>
      </c>
      <c r="G312" s="52" t="s">
        <v>75</v>
      </c>
      <c r="H312" s="28">
        <f>SUM(H313:H313)</f>
        <v>0</v>
      </c>
      <c r="I312" s="36" t="s">
        <v>10</v>
      </c>
      <c r="J312" s="49"/>
      <c r="AI312" s="36" t="s">
        <v>10</v>
      </c>
      <c r="AS312" s="28">
        <f>SUM(AJ313:AJ313)</f>
        <v>0</v>
      </c>
      <c r="AT312" s="28">
        <f>SUM(AK313:AK313)</f>
        <v>0</v>
      </c>
      <c r="AU312" s="28">
        <f>SUM(AL313:AL313)</f>
        <v>0</v>
      </c>
    </row>
    <row r="313" spans="1:76" ht="25" x14ac:dyDescent="0.35">
      <c r="A313" s="1" t="s">
        <v>1007</v>
      </c>
      <c r="B313" s="2" t="s">
        <v>1008</v>
      </c>
      <c r="C313" s="91" t="s">
        <v>1009</v>
      </c>
      <c r="D313" s="88"/>
      <c r="E313" s="2" t="s">
        <v>113</v>
      </c>
      <c r="F313" s="53">
        <v>69.790000000000006</v>
      </c>
      <c r="G313" s="77">
        <v>0</v>
      </c>
      <c r="H313" s="53">
        <f>ROUND(F313*G313,2)</f>
        <v>0</v>
      </c>
      <c r="I313" s="79" t="s">
        <v>1688</v>
      </c>
      <c r="J313" s="49"/>
      <c r="Z313" s="53">
        <f>ROUND(IF(AQ313="5",BJ313,0),2)</f>
        <v>0</v>
      </c>
      <c r="AB313" s="53">
        <f>ROUND(IF(AQ313="1",BH313,0),2)</f>
        <v>0</v>
      </c>
      <c r="AC313" s="53">
        <f>ROUND(IF(AQ313="1",BI313,0),2)</f>
        <v>0</v>
      </c>
      <c r="AD313" s="53">
        <f>ROUND(IF(AQ313="7",BH313,0),2)</f>
        <v>0</v>
      </c>
      <c r="AE313" s="53">
        <f>ROUND(IF(AQ313="7",BI313,0),2)</f>
        <v>0</v>
      </c>
      <c r="AF313" s="53">
        <f>ROUND(IF(AQ313="2",BH313,0),2)</f>
        <v>0</v>
      </c>
      <c r="AG313" s="53">
        <f>ROUND(IF(AQ313="2",BI313,0),2)</f>
        <v>0</v>
      </c>
      <c r="AH313" s="53">
        <f>ROUND(IF(AQ313="0",BJ313,0),2)</f>
        <v>0</v>
      </c>
      <c r="AI313" s="36" t="s">
        <v>10</v>
      </c>
      <c r="AJ313" s="53">
        <f>IF(AN313=0,H313,0)</f>
        <v>0</v>
      </c>
      <c r="AK313" s="53">
        <f>IF(AN313=12,H313,0)</f>
        <v>0</v>
      </c>
      <c r="AL313" s="53">
        <f>IF(AN313=21,H313,0)</f>
        <v>0</v>
      </c>
      <c r="AN313" s="53">
        <v>21</v>
      </c>
      <c r="AO313" s="53">
        <f>G313*0.075673216</f>
        <v>0</v>
      </c>
      <c r="AP313" s="53">
        <f>G313*(1-0.075673216)</f>
        <v>0</v>
      </c>
      <c r="AQ313" s="54" t="s">
        <v>110</v>
      </c>
      <c r="AV313" s="53">
        <f>ROUND(AW313+AX313,2)</f>
        <v>0</v>
      </c>
      <c r="AW313" s="53">
        <f>ROUND(F313*AO313,2)</f>
        <v>0</v>
      </c>
      <c r="AX313" s="53">
        <f>ROUND(F313*AP313,2)</f>
        <v>0</v>
      </c>
      <c r="AY313" s="54" t="s">
        <v>1010</v>
      </c>
      <c r="AZ313" s="54" t="s">
        <v>983</v>
      </c>
      <c r="BA313" s="36" t="s">
        <v>116</v>
      </c>
      <c r="BC313" s="53">
        <f>AW313+AX313</f>
        <v>0</v>
      </c>
      <c r="BD313" s="53">
        <f>G313/(100-BE313)*100</f>
        <v>0</v>
      </c>
      <c r="BE313" s="53">
        <v>0</v>
      </c>
      <c r="BF313" s="53">
        <f>313</f>
        <v>313</v>
      </c>
      <c r="BH313" s="53">
        <f>F313*AO313</f>
        <v>0</v>
      </c>
      <c r="BI313" s="53">
        <f>F313*AP313</f>
        <v>0</v>
      </c>
      <c r="BJ313" s="53">
        <f>F313*G313</f>
        <v>0</v>
      </c>
      <c r="BK313" s="54" t="s">
        <v>117</v>
      </c>
      <c r="BL313" s="53">
        <v>959</v>
      </c>
      <c r="BW313" s="53">
        <v>21</v>
      </c>
      <c r="BX313" s="3" t="s">
        <v>1009</v>
      </c>
    </row>
    <row r="314" spans="1:76" ht="14.5" x14ac:dyDescent="0.35">
      <c r="A314" s="50" t="s">
        <v>10</v>
      </c>
      <c r="B314" s="51" t="s">
        <v>447</v>
      </c>
      <c r="C314" s="172" t="s">
        <v>1011</v>
      </c>
      <c r="D314" s="173"/>
      <c r="E314" s="52" t="s">
        <v>75</v>
      </c>
      <c r="F314" s="52" t="s">
        <v>75</v>
      </c>
      <c r="G314" s="52" t="s">
        <v>75</v>
      </c>
      <c r="H314" s="28">
        <f>SUM(H315:H332)</f>
        <v>0</v>
      </c>
      <c r="I314" s="36" t="s">
        <v>10</v>
      </c>
      <c r="J314" s="49"/>
      <c r="AI314" s="36" t="s">
        <v>10</v>
      </c>
      <c r="AS314" s="28">
        <f>SUM(AJ315:AJ332)</f>
        <v>0</v>
      </c>
      <c r="AT314" s="28">
        <f>SUM(AK315:AK332)</f>
        <v>0</v>
      </c>
      <c r="AU314" s="28">
        <f>SUM(AL315:AL332)</f>
        <v>0</v>
      </c>
    </row>
    <row r="315" spans="1:76" ht="23" x14ac:dyDescent="0.35">
      <c r="A315" s="1" t="s">
        <v>1012</v>
      </c>
      <c r="B315" s="2" t="s">
        <v>1013</v>
      </c>
      <c r="C315" s="91" t="s">
        <v>1014</v>
      </c>
      <c r="D315" s="88"/>
      <c r="E315" s="2" t="s">
        <v>113</v>
      </c>
      <c r="F315" s="53">
        <v>153.26</v>
      </c>
      <c r="G315" s="77">
        <v>0</v>
      </c>
      <c r="H315" s="53">
        <f t="shared" ref="H315:H332" si="384">ROUND(F315*G315,2)</f>
        <v>0</v>
      </c>
      <c r="I315" s="79" t="s">
        <v>1688</v>
      </c>
      <c r="J315" s="49"/>
      <c r="Z315" s="53">
        <f t="shared" ref="Z315:Z332" si="385">ROUND(IF(AQ315="5",BJ315,0),2)</f>
        <v>0</v>
      </c>
      <c r="AB315" s="53">
        <f t="shared" ref="AB315:AB332" si="386">ROUND(IF(AQ315="1",BH315,0),2)</f>
        <v>0</v>
      </c>
      <c r="AC315" s="53">
        <f t="shared" ref="AC315:AC332" si="387">ROUND(IF(AQ315="1",BI315,0),2)</f>
        <v>0</v>
      </c>
      <c r="AD315" s="53">
        <f t="shared" ref="AD315:AD332" si="388">ROUND(IF(AQ315="7",BH315,0),2)</f>
        <v>0</v>
      </c>
      <c r="AE315" s="53">
        <f t="shared" ref="AE315:AE332" si="389">ROUND(IF(AQ315="7",BI315,0),2)</f>
        <v>0</v>
      </c>
      <c r="AF315" s="53">
        <f t="shared" ref="AF315:AF332" si="390">ROUND(IF(AQ315="2",BH315,0),2)</f>
        <v>0</v>
      </c>
      <c r="AG315" s="53">
        <f t="shared" ref="AG315:AG332" si="391">ROUND(IF(AQ315="2",BI315,0),2)</f>
        <v>0</v>
      </c>
      <c r="AH315" s="53">
        <f t="shared" ref="AH315:AH332" si="392">ROUND(IF(AQ315="0",BJ315,0),2)</f>
        <v>0</v>
      </c>
      <c r="AI315" s="36" t="s">
        <v>10</v>
      </c>
      <c r="AJ315" s="53">
        <f t="shared" ref="AJ315:AJ332" si="393">IF(AN315=0,H315,0)</f>
        <v>0</v>
      </c>
      <c r="AK315" s="53">
        <f t="shared" ref="AK315:AK332" si="394">IF(AN315=12,H315,0)</f>
        <v>0</v>
      </c>
      <c r="AL315" s="53">
        <f t="shared" ref="AL315:AL332" si="395">IF(AN315=21,H315,0)</f>
        <v>0</v>
      </c>
      <c r="AN315" s="53">
        <v>21</v>
      </c>
      <c r="AO315" s="53">
        <f>G315*0.105137909</f>
        <v>0</v>
      </c>
      <c r="AP315" s="53">
        <f>G315*(1-0.105137909)</f>
        <v>0</v>
      </c>
      <c r="AQ315" s="54" t="s">
        <v>110</v>
      </c>
      <c r="AV315" s="53">
        <f t="shared" ref="AV315:AV332" si="396">ROUND(AW315+AX315,2)</f>
        <v>0</v>
      </c>
      <c r="AW315" s="53">
        <f t="shared" ref="AW315:AW332" si="397">ROUND(F315*AO315,2)</f>
        <v>0</v>
      </c>
      <c r="AX315" s="53">
        <f t="shared" ref="AX315:AX332" si="398">ROUND(F315*AP315,2)</f>
        <v>0</v>
      </c>
      <c r="AY315" s="54" t="s">
        <v>1015</v>
      </c>
      <c r="AZ315" s="54" t="s">
        <v>983</v>
      </c>
      <c r="BA315" s="36" t="s">
        <v>116</v>
      </c>
      <c r="BC315" s="53">
        <f t="shared" ref="BC315:BC332" si="399">AW315+AX315</f>
        <v>0</v>
      </c>
      <c r="BD315" s="53">
        <f t="shared" ref="BD315:BD332" si="400">G315/(100-BE315)*100</f>
        <v>0</v>
      </c>
      <c r="BE315" s="53">
        <v>0</v>
      </c>
      <c r="BF315" s="53">
        <f>315</f>
        <v>315</v>
      </c>
      <c r="BH315" s="53">
        <f t="shared" ref="BH315:BH332" si="401">F315*AO315</f>
        <v>0</v>
      </c>
      <c r="BI315" s="53">
        <f t="shared" ref="BI315:BI332" si="402">F315*AP315</f>
        <v>0</v>
      </c>
      <c r="BJ315" s="53">
        <f t="shared" ref="BJ315:BJ332" si="403">F315*G315</f>
        <v>0</v>
      </c>
      <c r="BK315" s="54" t="s">
        <v>117</v>
      </c>
      <c r="BL315" s="53">
        <v>96</v>
      </c>
      <c r="BW315" s="53">
        <v>21</v>
      </c>
      <c r="BX315" s="3" t="s">
        <v>1014</v>
      </c>
    </row>
    <row r="316" spans="1:76" ht="23" x14ac:dyDescent="0.35">
      <c r="A316" s="1" t="s">
        <v>1016</v>
      </c>
      <c r="B316" s="2" t="s">
        <v>1017</v>
      </c>
      <c r="C316" s="91" t="s">
        <v>1018</v>
      </c>
      <c r="D316" s="88"/>
      <c r="E316" s="2" t="s">
        <v>113</v>
      </c>
      <c r="F316" s="53">
        <v>1.98</v>
      </c>
      <c r="G316" s="77">
        <v>0</v>
      </c>
      <c r="H316" s="53">
        <f t="shared" si="384"/>
        <v>0</v>
      </c>
      <c r="I316" s="79" t="s">
        <v>1688</v>
      </c>
      <c r="J316" s="49"/>
      <c r="Z316" s="53">
        <f t="shared" si="385"/>
        <v>0</v>
      </c>
      <c r="AB316" s="53">
        <f t="shared" si="386"/>
        <v>0</v>
      </c>
      <c r="AC316" s="53">
        <f t="shared" si="387"/>
        <v>0</v>
      </c>
      <c r="AD316" s="53">
        <f t="shared" si="388"/>
        <v>0</v>
      </c>
      <c r="AE316" s="53">
        <f t="shared" si="389"/>
        <v>0</v>
      </c>
      <c r="AF316" s="53">
        <f t="shared" si="390"/>
        <v>0</v>
      </c>
      <c r="AG316" s="53">
        <f t="shared" si="391"/>
        <v>0</v>
      </c>
      <c r="AH316" s="53">
        <f t="shared" si="392"/>
        <v>0</v>
      </c>
      <c r="AI316" s="36" t="s">
        <v>10</v>
      </c>
      <c r="AJ316" s="53">
        <f t="shared" si="393"/>
        <v>0</v>
      </c>
      <c r="AK316" s="53">
        <f t="shared" si="394"/>
        <v>0</v>
      </c>
      <c r="AL316" s="53">
        <f t="shared" si="395"/>
        <v>0</v>
      </c>
      <c r="AN316" s="53">
        <v>21</v>
      </c>
      <c r="AO316" s="53">
        <f>G316*0.006703727</f>
        <v>0</v>
      </c>
      <c r="AP316" s="53">
        <f>G316*(1-0.006703727)</f>
        <v>0</v>
      </c>
      <c r="AQ316" s="54" t="s">
        <v>110</v>
      </c>
      <c r="AV316" s="53">
        <f t="shared" si="396"/>
        <v>0</v>
      </c>
      <c r="AW316" s="53">
        <f t="shared" si="397"/>
        <v>0</v>
      </c>
      <c r="AX316" s="53">
        <f t="shared" si="398"/>
        <v>0</v>
      </c>
      <c r="AY316" s="54" t="s">
        <v>1015</v>
      </c>
      <c r="AZ316" s="54" t="s">
        <v>983</v>
      </c>
      <c r="BA316" s="36" t="s">
        <v>116</v>
      </c>
      <c r="BC316" s="53">
        <f t="shared" si="399"/>
        <v>0</v>
      </c>
      <c r="BD316" s="53">
        <f t="shared" si="400"/>
        <v>0</v>
      </c>
      <c r="BE316" s="53">
        <v>0</v>
      </c>
      <c r="BF316" s="53">
        <f>316</f>
        <v>316</v>
      </c>
      <c r="BH316" s="53">
        <f t="shared" si="401"/>
        <v>0</v>
      </c>
      <c r="BI316" s="53">
        <f t="shared" si="402"/>
        <v>0</v>
      </c>
      <c r="BJ316" s="53">
        <f t="shared" si="403"/>
        <v>0</v>
      </c>
      <c r="BK316" s="54" t="s">
        <v>117</v>
      </c>
      <c r="BL316" s="53">
        <v>96</v>
      </c>
      <c r="BW316" s="53">
        <v>21</v>
      </c>
      <c r="BX316" s="3" t="s">
        <v>1018</v>
      </c>
    </row>
    <row r="317" spans="1:76" ht="23" x14ac:dyDescent="0.35">
      <c r="A317" s="1" t="s">
        <v>1019</v>
      </c>
      <c r="B317" s="2" t="s">
        <v>1020</v>
      </c>
      <c r="C317" s="91" t="s">
        <v>1021</v>
      </c>
      <c r="D317" s="88"/>
      <c r="E317" s="2" t="s">
        <v>113</v>
      </c>
      <c r="F317" s="53">
        <v>482.88</v>
      </c>
      <c r="G317" s="77">
        <v>0</v>
      </c>
      <c r="H317" s="53">
        <f t="shared" si="384"/>
        <v>0</v>
      </c>
      <c r="I317" s="79" t="s">
        <v>1688</v>
      </c>
      <c r="J317" s="49"/>
      <c r="Z317" s="53">
        <f t="shared" si="385"/>
        <v>0</v>
      </c>
      <c r="AB317" s="53">
        <f t="shared" si="386"/>
        <v>0</v>
      </c>
      <c r="AC317" s="53">
        <f t="shared" si="387"/>
        <v>0</v>
      </c>
      <c r="AD317" s="53">
        <f t="shared" si="388"/>
        <v>0</v>
      </c>
      <c r="AE317" s="53">
        <f t="shared" si="389"/>
        <v>0</v>
      </c>
      <c r="AF317" s="53">
        <f t="shared" si="390"/>
        <v>0</v>
      </c>
      <c r="AG317" s="53">
        <f t="shared" si="391"/>
        <v>0</v>
      </c>
      <c r="AH317" s="53">
        <f t="shared" si="392"/>
        <v>0</v>
      </c>
      <c r="AI317" s="36" t="s">
        <v>10</v>
      </c>
      <c r="AJ317" s="53">
        <f t="shared" si="393"/>
        <v>0</v>
      </c>
      <c r="AK317" s="53">
        <f t="shared" si="394"/>
        <v>0</v>
      </c>
      <c r="AL317" s="53">
        <f t="shared" si="395"/>
        <v>0</v>
      </c>
      <c r="AN317" s="53">
        <v>21</v>
      </c>
      <c r="AO317" s="53">
        <f>G317*0</f>
        <v>0</v>
      </c>
      <c r="AP317" s="53">
        <f>G317*(1-0)</f>
        <v>0</v>
      </c>
      <c r="AQ317" s="54" t="s">
        <v>110</v>
      </c>
      <c r="AV317" s="53">
        <f t="shared" si="396"/>
        <v>0</v>
      </c>
      <c r="AW317" s="53">
        <f t="shared" si="397"/>
        <v>0</v>
      </c>
      <c r="AX317" s="53">
        <f t="shared" si="398"/>
        <v>0</v>
      </c>
      <c r="AY317" s="54" t="s">
        <v>1015</v>
      </c>
      <c r="AZ317" s="54" t="s">
        <v>983</v>
      </c>
      <c r="BA317" s="36" t="s">
        <v>116</v>
      </c>
      <c r="BC317" s="53">
        <f t="shared" si="399"/>
        <v>0</v>
      </c>
      <c r="BD317" s="53">
        <f t="shared" si="400"/>
        <v>0</v>
      </c>
      <c r="BE317" s="53">
        <v>0</v>
      </c>
      <c r="BF317" s="53">
        <f>317</f>
        <v>317</v>
      </c>
      <c r="BH317" s="53">
        <f t="shared" si="401"/>
        <v>0</v>
      </c>
      <c r="BI317" s="53">
        <f t="shared" si="402"/>
        <v>0</v>
      </c>
      <c r="BJ317" s="53">
        <f t="shared" si="403"/>
        <v>0</v>
      </c>
      <c r="BK317" s="54" t="s">
        <v>117</v>
      </c>
      <c r="BL317" s="53">
        <v>96</v>
      </c>
      <c r="BW317" s="53">
        <v>21</v>
      </c>
      <c r="BX317" s="3" t="s">
        <v>1021</v>
      </c>
    </row>
    <row r="318" spans="1:76" ht="23" x14ac:dyDescent="0.35">
      <c r="A318" s="1" t="s">
        <v>1022</v>
      </c>
      <c r="B318" s="2" t="s">
        <v>1023</v>
      </c>
      <c r="C318" s="91" t="s">
        <v>1024</v>
      </c>
      <c r="D318" s="88"/>
      <c r="E318" s="2" t="s">
        <v>143</v>
      </c>
      <c r="F318" s="53">
        <v>8.66</v>
      </c>
      <c r="G318" s="77">
        <v>0</v>
      </c>
      <c r="H318" s="53">
        <f t="shared" si="384"/>
        <v>0</v>
      </c>
      <c r="I318" s="79" t="s">
        <v>1688</v>
      </c>
      <c r="J318" s="49"/>
      <c r="Z318" s="53">
        <f t="shared" si="385"/>
        <v>0</v>
      </c>
      <c r="AB318" s="53">
        <f t="shared" si="386"/>
        <v>0</v>
      </c>
      <c r="AC318" s="53">
        <f t="shared" si="387"/>
        <v>0</v>
      </c>
      <c r="AD318" s="53">
        <f t="shared" si="388"/>
        <v>0</v>
      </c>
      <c r="AE318" s="53">
        <f t="shared" si="389"/>
        <v>0</v>
      </c>
      <c r="AF318" s="53">
        <f t="shared" si="390"/>
        <v>0</v>
      </c>
      <c r="AG318" s="53">
        <f t="shared" si="391"/>
        <v>0</v>
      </c>
      <c r="AH318" s="53">
        <f t="shared" si="392"/>
        <v>0</v>
      </c>
      <c r="AI318" s="36" t="s">
        <v>10</v>
      </c>
      <c r="AJ318" s="53">
        <f t="shared" si="393"/>
        <v>0</v>
      </c>
      <c r="AK318" s="53">
        <f t="shared" si="394"/>
        <v>0</v>
      </c>
      <c r="AL318" s="53">
        <f t="shared" si="395"/>
        <v>0</v>
      </c>
      <c r="AN318" s="53">
        <v>21</v>
      </c>
      <c r="AO318" s="53">
        <f>G318*0</f>
        <v>0</v>
      </c>
      <c r="AP318" s="53">
        <f>G318*(1-0)</f>
        <v>0</v>
      </c>
      <c r="AQ318" s="54" t="s">
        <v>110</v>
      </c>
      <c r="AV318" s="53">
        <f t="shared" si="396"/>
        <v>0</v>
      </c>
      <c r="AW318" s="53">
        <f t="shared" si="397"/>
        <v>0</v>
      </c>
      <c r="AX318" s="53">
        <f t="shared" si="398"/>
        <v>0</v>
      </c>
      <c r="AY318" s="54" t="s">
        <v>1015</v>
      </c>
      <c r="AZ318" s="54" t="s">
        <v>983</v>
      </c>
      <c r="BA318" s="36" t="s">
        <v>116</v>
      </c>
      <c r="BC318" s="53">
        <f t="shared" si="399"/>
        <v>0</v>
      </c>
      <c r="BD318" s="53">
        <f t="shared" si="400"/>
        <v>0</v>
      </c>
      <c r="BE318" s="53">
        <v>0</v>
      </c>
      <c r="BF318" s="53">
        <f>318</f>
        <v>318</v>
      </c>
      <c r="BH318" s="53">
        <f t="shared" si="401"/>
        <v>0</v>
      </c>
      <c r="BI318" s="53">
        <f t="shared" si="402"/>
        <v>0</v>
      </c>
      <c r="BJ318" s="53">
        <f t="shared" si="403"/>
        <v>0</v>
      </c>
      <c r="BK318" s="54" t="s">
        <v>117</v>
      </c>
      <c r="BL318" s="53">
        <v>96</v>
      </c>
      <c r="BW318" s="53">
        <v>21</v>
      </c>
      <c r="BX318" s="3" t="s">
        <v>1024</v>
      </c>
    </row>
    <row r="319" spans="1:76" ht="23" x14ac:dyDescent="0.35">
      <c r="A319" s="1" t="s">
        <v>1025</v>
      </c>
      <c r="B319" s="2" t="s">
        <v>1026</v>
      </c>
      <c r="C319" s="91" t="s">
        <v>1027</v>
      </c>
      <c r="D319" s="88"/>
      <c r="E319" s="2" t="s">
        <v>113</v>
      </c>
      <c r="F319" s="53">
        <v>16.690000000000001</v>
      </c>
      <c r="G319" s="77">
        <v>0</v>
      </c>
      <c r="H319" s="53">
        <f t="shared" si="384"/>
        <v>0</v>
      </c>
      <c r="I319" s="79" t="s">
        <v>1688</v>
      </c>
      <c r="J319" s="49"/>
      <c r="Z319" s="53">
        <f t="shared" si="385"/>
        <v>0</v>
      </c>
      <c r="AB319" s="53">
        <f t="shared" si="386"/>
        <v>0</v>
      </c>
      <c r="AC319" s="53">
        <f t="shared" si="387"/>
        <v>0</v>
      </c>
      <c r="AD319" s="53">
        <f t="shared" si="388"/>
        <v>0</v>
      </c>
      <c r="AE319" s="53">
        <f t="shared" si="389"/>
        <v>0</v>
      </c>
      <c r="AF319" s="53">
        <f t="shared" si="390"/>
        <v>0</v>
      </c>
      <c r="AG319" s="53">
        <f t="shared" si="391"/>
        <v>0</v>
      </c>
      <c r="AH319" s="53">
        <f t="shared" si="392"/>
        <v>0</v>
      </c>
      <c r="AI319" s="36" t="s">
        <v>10</v>
      </c>
      <c r="AJ319" s="53">
        <f t="shared" si="393"/>
        <v>0</v>
      </c>
      <c r="AK319" s="53">
        <f t="shared" si="394"/>
        <v>0</v>
      </c>
      <c r="AL319" s="53">
        <f t="shared" si="395"/>
        <v>0</v>
      </c>
      <c r="AN319" s="53">
        <v>21</v>
      </c>
      <c r="AO319" s="53">
        <f>G319*0.042597325</f>
        <v>0</v>
      </c>
      <c r="AP319" s="53">
        <f>G319*(1-0.042597325)</f>
        <v>0</v>
      </c>
      <c r="AQ319" s="54" t="s">
        <v>110</v>
      </c>
      <c r="AV319" s="53">
        <f t="shared" si="396"/>
        <v>0</v>
      </c>
      <c r="AW319" s="53">
        <f t="shared" si="397"/>
        <v>0</v>
      </c>
      <c r="AX319" s="53">
        <f t="shared" si="398"/>
        <v>0</v>
      </c>
      <c r="AY319" s="54" t="s">
        <v>1015</v>
      </c>
      <c r="AZ319" s="54" t="s">
        <v>983</v>
      </c>
      <c r="BA319" s="36" t="s">
        <v>116</v>
      </c>
      <c r="BC319" s="53">
        <f t="shared" si="399"/>
        <v>0</v>
      </c>
      <c r="BD319" s="53">
        <f t="shared" si="400"/>
        <v>0</v>
      </c>
      <c r="BE319" s="53">
        <v>0</v>
      </c>
      <c r="BF319" s="53">
        <f>319</f>
        <v>319</v>
      </c>
      <c r="BH319" s="53">
        <f t="shared" si="401"/>
        <v>0</v>
      </c>
      <c r="BI319" s="53">
        <f t="shared" si="402"/>
        <v>0</v>
      </c>
      <c r="BJ319" s="53">
        <f t="shared" si="403"/>
        <v>0</v>
      </c>
      <c r="BK319" s="54" t="s">
        <v>117</v>
      </c>
      <c r="BL319" s="53">
        <v>96</v>
      </c>
      <c r="BW319" s="53">
        <v>21</v>
      </c>
      <c r="BX319" s="3" t="s">
        <v>1027</v>
      </c>
    </row>
    <row r="320" spans="1:76" ht="23" x14ac:dyDescent="0.35">
      <c r="A320" s="1" t="s">
        <v>1028</v>
      </c>
      <c r="B320" s="2" t="s">
        <v>1029</v>
      </c>
      <c r="C320" s="91" t="s">
        <v>1030</v>
      </c>
      <c r="D320" s="88"/>
      <c r="E320" s="2" t="s">
        <v>113</v>
      </c>
      <c r="F320" s="53">
        <v>149.66</v>
      </c>
      <c r="G320" s="77">
        <v>0</v>
      </c>
      <c r="H320" s="53">
        <f t="shared" si="384"/>
        <v>0</v>
      </c>
      <c r="I320" s="79" t="s">
        <v>1688</v>
      </c>
      <c r="J320" s="49"/>
      <c r="Z320" s="53">
        <f t="shared" si="385"/>
        <v>0</v>
      </c>
      <c r="AB320" s="53">
        <f t="shared" si="386"/>
        <v>0</v>
      </c>
      <c r="AC320" s="53">
        <f t="shared" si="387"/>
        <v>0</v>
      </c>
      <c r="AD320" s="53">
        <f t="shared" si="388"/>
        <v>0</v>
      </c>
      <c r="AE320" s="53">
        <f t="shared" si="389"/>
        <v>0</v>
      </c>
      <c r="AF320" s="53">
        <f t="shared" si="390"/>
        <v>0</v>
      </c>
      <c r="AG320" s="53">
        <f t="shared" si="391"/>
        <v>0</v>
      </c>
      <c r="AH320" s="53">
        <f t="shared" si="392"/>
        <v>0</v>
      </c>
      <c r="AI320" s="36" t="s">
        <v>10</v>
      </c>
      <c r="AJ320" s="53">
        <f t="shared" si="393"/>
        <v>0</v>
      </c>
      <c r="AK320" s="53">
        <f t="shared" si="394"/>
        <v>0</v>
      </c>
      <c r="AL320" s="53">
        <f t="shared" si="395"/>
        <v>0</v>
      </c>
      <c r="AN320" s="53">
        <v>21</v>
      </c>
      <c r="AO320" s="53">
        <f>G320*0.087107524</f>
        <v>0</v>
      </c>
      <c r="AP320" s="53">
        <f>G320*(1-0.087107524)</f>
        <v>0</v>
      </c>
      <c r="AQ320" s="54" t="s">
        <v>110</v>
      </c>
      <c r="AV320" s="53">
        <f t="shared" si="396"/>
        <v>0</v>
      </c>
      <c r="AW320" s="53">
        <f t="shared" si="397"/>
        <v>0</v>
      </c>
      <c r="AX320" s="53">
        <f t="shared" si="398"/>
        <v>0</v>
      </c>
      <c r="AY320" s="54" t="s">
        <v>1015</v>
      </c>
      <c r="AZ320" s="54" t="s">
        <v>983</v>
      </c>
      <c r="BA320" s="36" t="s">
        <v>116</v>
      </c>
      <c r="BC320" s="53">
        <f t="shared" si="399"/>
        <v>0</v>
      </c>
      <c r="BD320" s="53">
        <f t="shared" si="400"/>
        <v>0</v>
      </c>
      <c r="BE320" s="53">
        <v>0</v>
      </c>
      <c r="BF320" s="53">
        <f>320</f>
        <v>320</v>
      </c>
      <c r="BH320" s="53">
        <f t="shared" si="401"/>
        <v>0</v>
      </c>
      <c r="BI320" s="53">
        <f t="shared" si="402"/>
        <v>0</v>
      </c>
      <c r="BJ320" s="53">
        <f t="shared" si="403"/>
        <v>0</v>
      </c>
      <c r="BK320" s="54" t="s">
        <v>117</v>
      </c>
      <c r="BL320" s="53">
        <v>96</v>
      </c>
      <c r="BW320" s="53">
        <v>21</v>
      </c>
      <c r="BX320" s="3" t="s">
        <v>1030</v>
      </c>
    </row>
    <row r="321" spans="1:76" ht="23" x14ac:dyDescent="0.35">
      <c r="A321" s="1" t="s">
        <v>1031</v>
      </c>
      <c r="B321" s="2" t="s">
        <v>1032</v>
      </c>
      <c r="C321" s="91" t="s">
        <v>1033</v>
      </c>
      <c r="D321" s="88"/>
      <c r="E321" s="2" t="s">
        <v>113</v>
      </c>
      <c r="F321" s="53">
        <v>366.33</v>
      </c>
      <c r="G321" s="77">
        <v>0</v>
      </c>
      <c r="H321" s="53">
        <f t="shared" si="384"/>
        <v>0</v>
      </c>
      <c r="I321" s="79" t="s">
        <v>1688</v>
      </c>
      <c r="J321" s="49"/>
      <c r="Z321" s="53">
        <f t="shared" si="385"/>
        <v>0</v>
      </c>
      <c r="AB321" s="53">
        <f t="shared" si="386"/>
        <v>0</v>
      </c>
      <c r="AC321" s="53">
        <f t="shared" si="387"/>
        <v>0</v>
      </c>
      <c r="AD321" s="53">
        <f t="shared" si="388"/>
        <v>0</v>
      </c>
      <c r="AE321" s="53">
        <f t="shared" si="389"/>
        <v>0</v>
      </c>
      <c r="AF321" s="53">
        <f t="shared" si="390"/>
        <v>0</v>
      </c>
      <c r="AG321" s="53">
        <f t="shared" si="391"/>
        <v>0</v>
      </c>
      <c r="AH321" s="53">
        <f t="shared" si="392"/>
        <v>0</v>
      </c>
      <c r="AI321" s="36" t="s">
        <v>10</v>
      </c>
      <c r="AJ321" s="53">
        <f t="shared" si="393"/>
        <v>0</v>
      </c>
      <c r="AK321" s="53">
        <f t="shared" si="394"/>
        <v>0</v>
      </c>
      <c r="AL321" s="53">
        <f t="shared" si="395"/>
        <v>0</v>
      </c>
      <c r="AN321" s="53">
        <v>21</v>
      </c>
      <c r="AO321" s="53">
        <f>G321*0</f>
        <v>0</v>
      </c>
      <c r="AP321" s="53">
        <f>G321*(1-0)</f>
        <v>0</v>
      </c>
      <c r="AQ321" s="54" t="s">
        <v>110</v>
      </c>
      <c r="AV321" s="53">
        <f t="shared" si="396"/>
        <v>0</v>
      </c>
      <c r="AW321" s="53">
        <f t="shared" si="397"/>
        <v>0</v>
      </c>
      <c r="AX321" s="53">
        <f t="shared" si="398"/>
        <v>0</v>
      </c>
      <c r="AY321" s="54" t="s">
        <v>1015</v>
      </c>
      <c r="AZ321" s="54" t="s">
        <v>983</v>
      </c>
      <c r="BA321" s="36" t="s">
        <v>116</v>
      </c>
      <c r="BC321" s="53">
        <f t="shared" si="399"/>
        <v>0</v>
      </c>
      <c r="BD321" s="53">
        <f t="shared" si="400"/>
        <v>0</v>
      </c>
      <c r="BE321" s="53">
        <v>0</v>
      </c>
      <c r="BF321" s="53">
        <f>321</f>
        <v>321</v>
      </c>
      <c r="BH321" s="53">
        <f t="shared" si="401"/>
        <v>0</v>
      </c>
      <c r="BI321" s="53">
        <f t="shared" si="402"/>
        <v>0</v>
      </c>
      <c r="BJ321" s="53">
        <f t="shared" si="403"/>
        <v>0</v>
      </c>
      <c r="BK321" s="54" t="s">
        <v>117</v>
      </c>
      <c r="BL321" s="53">
        <v>96</v>
      </c>
      <c r="BW321" s="53">
        <v>21</v>
      </c>
      <c r="BX321" s="3" t="s">
        <v>1033</v>
      </c>
    </row>
    <row r="322" spans="1:76" ht="23" x14ac:dyDescent="0.35">
      <c r="A322" s="1" t="s">
        <v>1034</v>
      </c>
      <c r="B322" s="2" t="s">
        <v>1035</v>
      </c>
      <c r="C322" s="91" t="s">
        <v>1036</v>
      </c>
      <c r="D322" s="88"/>
      <c r="E322" s="2" t="s">
        <v>143</v>
      </c>
      <c r="F322" s="53">
        <v>37.700000000000003</v>
      </c>
      <c r="G322" s="77">
        <v>0</v>
      </c>
      <c r="H322" s="53">
        <f t="shared" si="384"/>
        <v>0</v>
      </c>
      <c r="I322" s="79" t="s">
        <v>1688</v>
      </c>
      <c r="J322" s="49"/>
      <c r="Z322" s="53">
        <f t="shared" si="385"/>
        <v>0</v>
      </c>
      <c r="AB322" s="53">
        <f t="shared" si="386"/>
        <v>0</v>
      </c>
      <c r="AC322" s="53">
        <f t="shared" si="387"/>
        <v>0</v>
      </c>
      <c r="AD322" s="53">
        <f t="shared" si="388"/>
        <v>0</v>
      </c>
      <c r="AE322" s="53">
        <f t="shared" si="389"/>
        <v>0</v>
      </c>
      <c r="AF322" s="53">
        <f t="shared" si="390"/>
        <v>0</v>
      </c>
      <c r="AG322" s="53">
        <f t="shared" si="391"/>
        <v>0</v>
      </c>
      <c r="AH322" s="53">
        <f t="shared" si="392"/>
        <v>0</v>
      </c>
      <c r="AI322" s="36" t="s">
        <v>10</v>
      </c>
      <c r="AJ322" s="53">
        <f t="shared" si="393"/>
        <v>0</v>
      </c>
      <c r="AK322" s="53">
        <f t="shared" si="394"/>
        <v>0</v>
      </c>
      <c r="AL322" s="53">
        <f t="shared" si="395"/>
        <v>0</v>
      </c>
      <c r="AN322" s="53">
        <v>21</v>
      </c>
      <c r="AO322" s="53">
        <f>G322*0</f>
        <v>0</v>
      </c>
      <c r="AP322" s="53">
        <f>G322*(1-0)</f>
        <v>0</v>
      </c>
      <c r="AQ322" s="54" t="s">
        <v>110</v>
      </c>
      <c r="AV322" s="53">
        <f t="shared" si="396"/>
        <v>0</v>
      </c>
      <c r="AW322" s="53">
        <f t="shared" si="397"/>
        <v>0</v>
      </c>
      <c r="AX322" s="53">
        <f t="shared" si="398"/>
        <v>0</v>
      </c>
      <c r="AY322" s="54" t="s">
        <v>1015</v>
      </c>
      <c r="AZ322" s="54" t="s">
        <v>983</v>
      </c>
      <c r="BA322" s="36" t="s">
        <v>116</v>
      </c>
      <c r="BC322" s="53">
        <f t="shared" si="399"/>
        <v>0</v>
      </c>
      <c r="BD322" s="53">
        <f t="shared" si="400"/>
        <v>0</v>
      </c>
      <c r="BE322" s="53">
        <v>0</v>
      </c>
      <c r="BF322" s="53">
        <f>322</f>
        <v>322</v>
      </c>
      <c r="BH322" s="53">
        <f t="shared" si="401"/>
        <v>0</v>
      </c>
      <c r="BI322" s="53">
        <f t="shared" si="402"/>
        <v>0</v>
      </c>
      <c r="BJ322" s="53">
        <f t="shared" si="403"/>
        <v>0</v>
      </c>
      <c r="BK322" s="54" t="s">
        <v>117</v>
      </c>
      <c r="BL322" s="53">
        <v>96</v>
      </c>
      <c r="BW322" s="53">
        <v>21</v>
      </c>
      <c r="BX322" s="3" t="s">
        <v>1036</v>
      </c>
    </row>
    <row r="323" spans="1:76" ht="23" x14ac:dyDescent="0.35">
      <c r="A323" s="1" t="s">
        <v>1037</v>
      </c>
      <c r="B323" s="2" t="s">
        <v>1038</v>
      </c>
      <c r="C323" s="91" t="s">
        <v>1039</v>
      </c>
      <c r="D323" s="88"/>
      <c r="E323" s="2" t="s">
        <v>121</v>
      </c>
      <c r="F323" s="53">
        <v>38</v>
      </c>
      <c r="G323" s="77">
        <v>0</v>
      </c>
      <c r="H323" s="53">
        <f t="shared" si="384"/>
        <v>0</v>
      </c>
      <c r="I323" s="79" t="s">
        <v>1688</v>
      </c>
      <c r="J323" s="49"/>
      <c r="Z323" s="53">
        <f t="shared" si="385"/>
        <v>0</v>
      </c>
      <c r="AB323" s="53">
        <f t="shared" si="386"/>
        <v>0</v>
      </c>
      <c r="AC323" s="53">
        <f t="shared" si="387"/>
        <v>0</v>
      </c>
      <c r="AD323" s="53">
        <f t="shared" si="388"/>
        <v>0</v>
      </c>
      <c r="AE323" s="53">
        <f t="shared" si="389"/>
        <v>0</v>
      </c>
      <c r="AF323" s="53">
        <f t="shared" si="390"/>
        <v>0</v>
      </c>
      <c r="AG323" s="53">
        <f t="shared" si="391"/>
        <v>0</v>
      </c>
      <c r="AH323" s="53">
        <f t="shared" si="392"/>
        <v>0</v>
      </c>
      <c r="AI323" s="36" t="s">
        <v>10</v>
      </c>
      <c r="AJ323" s="53">
        <f t="shared" si="393"/>
        <v>0</v>
      </c>
      <c r="AK323" s="53">
        <f t="shared" si="394"/>
        <v>0</v>
      </c>
      <c r="AL323" s="53">
        <f t="shared" si="395"/>
        <v>0</v>
      </c>
      <c r="AN323" s="53">
        <v>21</v>
      </c>
      <c r="AO323" s="53">
        <f>G323*0</f>
        <v>0</v>
      </c>
      <c r="AP323" s="53">
        <f>G323*(1-0)</f>
        <v>0</v>
      </c>
      <c r="AQ323" s="54" t="s">
        <v>110</v>
      </c>
      <c r="AV323" s="53">
        <f t="shared" si="396"/>
        <v>0</v>
      </c>
      <c r="AW323" s="53">
        <f t="shared" si="397"/>
        <v>0</v>
      </c>
      <c r="AX323" s="53">
        <f t="shared" si="398"/>
        <v>0</v>
      </c>
      <c r="AY323" s="54" t="s">
        <v>1015</v>
      </c>
      <c r="AZ323" s="54" t="s">
        <v>983</v>
      </c>
      <c r="BA323" s="36" t="s">
        <v>116</v>
      </c>
      <c r="BC323" s="53">
        <f t="shared" si="399"/>
        <v>0</v>
      </c>
      <c r="BD323" s="53">
        <f t="shared" si="400"/>
        <v>0</v>
      </c>
      <c r="BE323" s="53">
        <v>0</v>
      </c>
      <c r="BF323" s="53">
        <f>323</f>
        <v>323</v>
      </c>
      <c r="BH323" s="53">
        <f t="shared" si="401"/>
        <v>0</v>
      </c>
      <c r="BI323" s="53">
        <f t="shared" si="402"/>
        <v>0</v>
      </c>
      <c r="BJ323" s="53">
        <f t="shared" si="403"/>
        <v>0</v>
      </c>
      <c r="BK323" s="54" t="s">
        <v>117</v>
      </c>
      <c r="BL323" s="53">
        <v>96</v>
      </c>
      <c r="BW323" s="53">
        <v>21</v>
      </c>
      <c r="BX323" s="3" t="s">
        <v>1039</v>
      </c>
    </row>
    <row r="324" spans="1:76" ht="23" x14ac:dyDescent="0.35">
      <c r="A324" s="1" t="s">
        <v>1040</v>
      </c>
      <c r="B324" s="2" t="s">
        <v>1041</v>
      </c>
      <c r="C324" s="91" t="s">
        <v>1042</v>
      </c>
      <c r="D324" s="88"/>
      <c r="E324" s="2" t="s">
        <v>434</v>
      </c>
      <c r="F324" s="53">
        <v>19</v>
      </c>
      <c r="G324" s="77">
        <v>0</v>
      </c>
      <c r="H324" s="53">
        <f t="shared" si="384"/>
        <v>0</v>
      </c>
      <c r="I324" s="79" t="s">
        <v>1688</v>
      </c>
      <c r="J324" s="49"/>
      <c r="Z324" s="53">
        <f t="shared" si="385"/>
        <v>0</v>
      </c>
      <c r="AB324" s="53">
        <f t="shared" si="386"/>
        <v>0</v>
      </c>
      <c r="AC324" s="53">
        <f t="shared" si="387"/>
        <v>0</v>
      </c>
      <c r="AD324" s="53">
        <f t="shared" si="388"/>
        <v>0</v>
      </c>
      <c r="AE324" s="53">
        <f t="shared" si="389"/>
        <v>0</v>
      </c>
      <c r="AF324" s="53">
        <f t="shared" si="390"/>
        <v>0</v>
      </c>
      <c r="AG324" s="53">
        <f t="shared" si="391"/>
        <v>0</v>
      </c>
      <c r="AH324" s="53">
        <f t="shared" si="392"/>
        <v>0</v>
      </c>
      <c r="AI324" s="36" t="s">
        <v>10</v>
      </c>
      <c r="AJ324" s="53">
        <f t="shared" si="393"/>
        <v>0</v>
      </c>
      <c r="AK324" s="53">
        <f t="shared" si="394"/>
        <v>0</v>
      </c>
      <c r="AL324" s="53">
        <f t="shared" si="395"/>
        <v>0</v>
      </c>
      <c r="AN324" s="53">
        <v>21</v>
      </c>
      <c r="AO324" s="53">
        <f>G324*0.303146651</f>
        <v>0</v>
      </c>
      <c r="AP324" s="53">
        <f>G324*(1-0.303146651)</f>
        <v>0</v>
      </c>
      <c r="AQ324" s="54" t="s">
        <v>110</v>
      </c>
      <c r="AV324" s="53">
        <f t="shared" si="396"/>
        <v>0</v>
      </c>
      <c r="AW324" s="53">
        <f t="shared" si="397"/>
        <v>0</v>
      </c>
      <c r="AX324" s="53">
        <f t="shared" si="398"/>
        <v>0</v>
      </c>
      <c r="AY324" s="54" t="s">
        <v>1015</v>
      </c>
      <c r="AZ324" s="54" t="s">
        <v>983</v>
      </c>
      <c r="BA324" s="36" t="s">
        <v>116</v>
      </c>
      <c r="BC324" s="53">
        <f t="shared" si="399"/>
        <v>0</v>
      </c>
      <c r="BD324" s="53">
        <f t="shared" si="400"/>
        <v>0</v>
      </c>
      <c r="BE324" s="53">
        <v>0</v>
      </c>
      <c r="BF324" s="53">
        <f>324</f>
        <v>324</v>
      </c>
      <c r="BH324" s="53">
        <f t="shared" si="401"/>
        <v>0</v>
      </c>
      <c r="BI324" s="53">
        <f t="shared" si="402"/>
        <v>0</v>
      </c>
      <c r="BJ324" s="53">
        <f t="shared" si="403"/>
        <v>0</v>
      </c>
      <c r="BK324" s="54" t="s">
        <v>117</v>
      </c>
      <c r="BL324" s="53">
        <v>96</v>
      </c>
      <c r="BW324" s="53">
        <v>21</v>
      </c>
      <c r="BX324" s="3" t="s">
        <v>1042</v>
      </c>
    </row>
    <row r="325" spans="1:76" ht="23" x14ac:dyDescent="0.35">
      <c r="A325" s="1" t="s">
        <v>1043</v>
      </c>
      <c r="B325" s="2" t="s">
        <v>1044</v>
      </c>
      <c r="C325" s="91" t="s">
        <v>1045</v>
      </c>
      <c r="D325" s="88"/>
      <c r="E325" s="2" t="s">
        <v>113</v>
      </c>
      <c r="F325" s="53">
        <v>327.79</v>
      </c>
      <c r="G325" s="77">
        <v>0</v>
      </c>
      <c r="H325" s="53">
        <f t="shared" si="384"/>
        <v>0</v>
      </c>
      <c r="I325" s="79" t="s">
        <v>1688</v>
      </c>
      <c r="J325" s="49"/>
      <c r="Z325" s="53">
        <f t="shared" si="385"/>
        <v>0</v>
      </c>
      <c r="AB325" s="53">
        <f t="shared" si="386"/>
        <v>0</v>
      </c>
      <c r="AC325" s="53">
        <f t="shared" si="387"/>
        <v>0</v>
      </c>
      <c r="AD325" s="53">
        <f t="shared" si="388"/>
        <v>0</v>
      </c>
      <c r="AE325" s="53">
        <f t="shared" si="389"/>
        <v>0</v>
      </c>
      <c r="AF325" s="53">
        <f t="shared" si="390"/>
        <v>0</v>
      </c>
      <c r="AG325" s="53">
        <f t="shared" si="391"/>
        <v>0</v>
      </c>
      <c r="AH325" s="53">
        <f t="shared" si="392"/>
        <v>0</v>
      </c>
      <c r="AI325" s="36" t="s">
        <v>10</v>
      </c>
      <c r="AJ325" s="53">
        <f t="shared" si="393"/>
        <v>0</v>
      </c>
      <c r="AK325" s="53">
        <f t="shared" si="394"/>
        <v>0</v>
      </c>
      <c r="AL325" s="53">
        <f t="shared" si="395"/>
        <v>0</v>
      </c>
      <c r="AN325" s="53">
        <v>21</v>
      </c>
      <c r="AO325" s="53">
        <f>G325*0</f>
        <v>0</v>
      </c>
      <c r="AP325" s="53">
        <f>G325*(1-0)</f>
        <v>0</v>
      </c>
      <c r="AQ325" s="54" t="s">
        <v>110</v>
      </c>
      <c r="AV325" s="53">
        <f t="shared" si="396"/>
        <v>0</v>
      </c>
      <c r="AW325" s="53">
        <f t="shared" si="397"/>
        <v>0</v>
      </c>
      <c r="AX325" s="53">
        <f t="shared" si="398"/>
        <v>0</v>
      </c>
      <c r="AY325" s="54" t="s">
        <v>1015</v>
      </c>
      <c r="AZ325" s="54" t="s">
        <v>983</v>
      </c>
      <c r="BA325" s="36" t="s">
        <v>116</v>
      </c>
      <c r="BC325" s="53">
        <f t="shared" si="399"/>
        <v>0</v>
      </c>
      <c r="BD325" s="53">
        <f t="shared" si="400"/>
        <v>0</v>
      </c>
      <c r="BE325" s="53">
        <v>0</v>
      </c>
      <c r="BF325" s="53">
        <f>325</f>
        <v>325</v>
      </c>
      <c r="BH325" s="53">
        <f t="shared" si="401"/>
        <v>0</v>
      </c>
      <c r="BI325" s="53">
        <f t="shared" si="402"/>
        <v>0</v>
      </c>
      <c r="BJ325" s="53">
        <f t="shared" si="403"/>
        <v>0</v>
      </c>
      <c r="BK325" s="54" t="s">
        <v>117</v>
      </c>
      <c r="BL325" s="53">
        <v>96</v>
      </c>
      <c r="BW325" s="53">
        <v>21</v>
      </c>
      <c r="BX325" s="3" t="s">
        <v>1045</v>
      </c>
    </row>
    <row r="326" spans="1:76" ht="23" x14ac:dyDescent="0.35">
      <c r="A326" s="1" t="s">
        <v>1046</v>
      </c>
      <c r="B326" s="2" t="s">
        <v>1047</v>
      </c>
      <c r="C326" s="91" t="s">
        <v>1048</v>
      </c>
      <c r="D326" s="88"/>
      <c r="E326" s="2" t="s">
        <v>113</v>
      </c>
      <c r="F326" s="53">
        <v>311.98</v>
      </c>
      <c r="G326" s="77">
        <v>0</v>
      </c>
      <c r="H326" s="53">
        <f t="shared" si="384"/>
        <v>0</v>
      </c>
      <c r="I326" s="79" t="s">
        <v>1688</v>
      </c>
      <c r="J326" s="49"/>
      <c r="Z326" s="53">
        <f t="shared" si="385"/>
        <v>0</v>
      </c>
      <c r="AB326" s="53">
        <f t="shared" si="386"/>
        <v>0</v>
      </c>
      <c r="AC326" s="53">
        <f t="shared" si="387"/>
        <v>0</v>
      </c>
      <c r="AD326" s="53">
        <f t="shared" si="388"/>
        <v>0</v>
      </c>
      <c r="AE326" s="53">
        <f t="shared" si="389"/>
        <v>0</v>
      </c>
      <c r="AF326" s="53">
        <f t="shared" si="390"/>
        <v>0</v>
      </c>
      <c r="AG326" s="53">
        <f t="shared" si="391"/>
        <v>0</v>
      </c>
      <c r="AH326" s="53">
        <f t="shared" si="392"/>
        <v>0</v>
      </c>
      <c r="AI326" s="36" t="s">
        <v>10</v>
      </c>
      <c r="AJ326" s="53">
        <f t="shared" si="393"/>
        <v>0</v>
      </c>
      <c r="AK326" s="53">
        <f t="shared" si="394"/>
        <v>0</v>
      </c>
      <c r="AL326" s="53">
        <f t="shared" si="395"/>
        <v>0</v>
      </c>
      <c r="AN326" s="53">
        <v>21</v>
      </c>
      <c r="AO326" s="53">
        <f>G326*0</f>
        <v>0</v>
      </c>
      <c r="AP326" s="53">
        <f>G326*(1-0)</f>
        <v>0</v>
      </c>
      <c r="AQ326" s="54" t="s">
        <v>110</v>
      </c>
      <c r="AV326" s="53">
        <f t="shared" si="396"/>
        <v>0</v>
      </c>
      <c r="AW326" s="53">
        <f t="shared" si="397"/>
        <v>0</v>
      </c>
      <c r="AX326" s="53">
        <f t="shared" si="398"/>
        <v>0</v>
      </c>
      <c r="AY326" s="54" t="s">
        <v>1015</v>
      </c>
      <c r="AZ326" s="54" t="s">
        <v>983</v>
      </c>
      <c r="BA326" s="36" t="s">
        <v>116</v>
      </c>
      <c r="BC326" s="53">
        <f t="shared" si="399"/>
        <v>0</v>
      </c>
      <c r="BD326" s="53">
        <f t="shared" si="400"/>
        <v>0</v>
      </c>
      <c r="BE326" s="53">
        <v>0</v>
      </c>
      <c r="BF326" s="53">
        <f>326</f>
        <v>326</v>
      </c>
      <c r="BH326" s="53">
        <f t="shared" si="401"/>
        <v>0</v>
      </c>
      <c r="BI326" s="53">
        <f t="shared" si="402"/>
        <v>0</v>
      </c>
      <c r="BJ326" s="53">
        <f t="shared" si="403"/>
        <v>0</v>
      </c>
      <c r="BK326" s="54" t="s">
        <v>117</v>
      </c>
      <c r="BL326" s="53">
        <v>96</v>
      </c>
      <c r="BW326" s="53">
        <v>21</v>
      </c>
      <c r="BX326" s="3" t="s">
        <v>1048</v>
      </c>
    </row>
    <row r="327" spans="1:76" ht="23" x14ac:dyDescent="0.35">
      <c r="A327" s="1" t="s">
        <v>1049</v>
      </c>
      <c r="B327" s="2" t="s">
        <v>1050</v>
      </c>
      <c r="C327" s="91" t="s">
        <v>1051</v>
      </c>
      <c r="D327" s="88"/>
      <c r="E327" s="2" t="s">
        <v>434</v>
      </c>
      <c r="F327" s="53">
        <v>3</v>
      </c>
      <c r="G327" s="77">
        <v>0</v>
      </c>
      <c r="H327" s="53">
        <f t="shared" si="384"/>
        <v>0</v>
      </c>
      <c r="I327" s="79" t="s">
        <v>1688</v>
      </c>
      <c r="J327" s="49"/>
      <c r="Z327" s="53">
        <f t="shared" si="385"/>
        <v>0</v>
      </c>
      <c r="AB327" s="53">
        <f t="shared" si="386"/>
        <v>0</v>
      </c>
      <c r="AC327" s="53">
        <f t="shared" si="387"/>
        <v>0</v>
      </c>
      <c r="AD327" s="53">
        <f t="shared" si="388"/>
        <v>0</v>
      </c>
      <c r="AE327" s="53">
        <f t="shared" si="389"/>
        <v>0</v>
      </c>
      <c r="AF327" s="53">
        <f t="shared" si="390"/>
        <v>0</v>
      </c>
      <c r="AG327" s="53">
        <f t="shared" si="391"/>
        <v>0</v>
      </c>
      <c r="AH327" s="53">
        <f t="shared" si="392"/>
        <v>0</v>
      </c>
      <c r="AI327" s="36" t="s">
        <v>10</v>
      </c>
      <c r="AJ327" s="53">
        <f t="shared" si="393"/>
        <v>0</v>
      </c>
      <c r="AK327" s="53">
        <f t="shared" si="394"/>
        <v>0</v>
      </c>
      <c r="AL327" s="53">
        <f t="shared" si="395"/>
        <v>0</v>
      </c>
      <c r="AN327" s="53">
        <v>21</v>
      </c>
      <c r="AO327" s="53">
        <f>G327*0.057968954</f>
        <v>0</v>
      </c>
      <c r="AP327" s="53">
        <f>G327*(1-0.057968954)</f>
        <v>0</v>
      </c>
      <c r="AQ327" s="54" t="s">
        <v>110</v>
      </c>
      <c r="AV327" s="53">
        <f t="shared" si="396"/>
        <v>0</v>
      </c>
      <c r="AW327" s="53">
        <f t="shared" si="397"/>
        <v>0</v>
      </c>
      <c r="AX327" s="53">
        <f t="shared" si="398"/>
        <v>0</v>
      </c>
      <c r="AY327" s="54" t="s">
        <v>1015</v>
      </c>
      <c r="AZ327" s="54" t="s">
        <v>983</v>
      </c>
      <c r="BA327" s="36" t="s">
        <v>116</v>
      </c>
      <c r="BC327" s="53">
        <f t="shared" si="399"/>
        <v>0</v>
      </c>
      <c r="BD327" s="53">
        <f t="shared" si="400"/>
        <v>0</v>
      </c>
      <c r="BE327" s="53">
        <v>0</v>
      </c>
      <c r="BF327" s="53">
        <f>327</f>
        <v>327</v>
      </c>
      <c r="BH327" s="53">
        <f t="shared" si="401"/>
        <v>0</v>
      </c>
      <c r="BI327" s="53">
        <f t="shared" si="402"/>
        <v>0</v>
      </c>
      <c r="BJ327" s="53">
        <f t="shared" si="403"/>
        <v>0</v>
      </c>
      <c r="BK327" s="54" t="s">
        <v>117</v>
      </c>
      <c r="BL327" s="53">
        <v>96</v>
      </c>
      <c r="BW327" s="53">
        <v>21</v>
      </c>
      <c r="BX327" s="3" t="s">
        <v>1051</v>
      </c>
    </row>
    <row r="328" spans="1:76" ht="23" x14ac:dyDescent="0.35">
      <c r="A328" s="1" t="s">
        <v>1052</v>
      </c>
      <c r="B328" s="2" t="s">
        <v>1053</v>
      </c>
      <c r="C328" s="91" t="s">
        <v>1054</v>
      </c>
      <c r="D328" s="88"/>
      <c r="E328" s="2" t="s">
        <v>113</v>
      </c>
      <c r="F328" s="53">
        <v>38</v>
      </c>
      <c r="G328" s="77">
        <v>0</v>
      </c>
      <c r="H328" s="53">
        <f t="shared" si="384"/>
        <v>0</v>
      </c>
      <c r="I328" s="79" t="s">
        <v>1688</v>
      </c>
      <c r="J328" s="49"/>
      <c r="Z328" s="53">
        <f t="shared" si="385"/>
        <v>0</v>
      </c>
      <c r="AB328" s="53">
        <f t="shared" si="386"/>
        <v>0</v>
      </c>
      <c r="AC328" s="53">
        <f t="shared" si="387"/>
        <v>0</v>
      </c>
      <c r="AD328" s="53">
        <f t="shared" si="388"/>
        <v>0</v>
      </c>
      <c r="AE328" s="53">
        <f t="shared" si="389"/>
        <v>0</v>
      </c>
      <c r="AF328" s="53">
        <f t="shared" si="390"/>
        <v>0</v>
      </c>
      <c r="AG328" s="53">
        <f t="shared" si="391"/>
        <v>0</v>
      </c>
      <c r="AH328" s="53">
        <f t="shared" si="392"/>
        <v>0</v>
      </c>
      <c r="AI328" s="36" t="s">
        <v>10</v>
      </c>
      <c r="AJ328" s="53">
        <f t="shared" si="393"/>
        <v>0</v>
      </c>
      <c r="AK328" s="53">
        <f t="shared" si="394"/>
        <v>0</v>
      </c>
      <c r="AL328" s="53">
        <f t="shared" si="395"/>
        <v>0</v>
      </c>
      <c r="AN328" s="53">
        <v>21</v>
      </c>
      <c r="AO328" s="53">
        <f>G328*0.060907031</f>
        <v>0</v>
      </c>
      <c r="AP328" s="53">
        <f>G328*(1-0.060907031)</f>
        <v>0</v>
      </c>
      <c r="AQ328" s="54" t="s">
        <v>110</v>
      </c>
      <c r="AV328" s="53">
        <f t="shared" si="396"/>
        <v>0</v>
      </c>
      <c r="AW328" s="53">
        <f t="shared" si="397"/>
        <v>0</v>
      </c>
      <c r="AX328" s="53">
        <f t="shared" si="398"/>
        <v>0</v>
      </c>
      <c r="AY328" s="54" t="s">
        <v>1015</v>
      </c>
      <c r="AZ328" s="54" t="s">
        <v>983</v>
      </c>
      <c r="BA328" s="36" t="s">
        <v>116</v>
      </c>
      <c r="BC328" s="53">
        <f t="shared" si="399"/>
        <v>0</v>
      </c>
      <c r="BD328" s="53">
        <f t="shared" si="400"/>
        <v>0</v>
      </c>
      <c r="BE328" s="53">
        <v>0</v>
      </c>
      <c r="BF328" s="53">
        <f>328</f>
        <v>328</v>
      </c>
      <c r="BH328" s="53">
        <f t="shared" si="401"/>
        <v>0</v>
      </c>
      <c r="BI328" s="53">
        <f t="shared" si="402"/>
        <v>0</v>
      </c>
      <c r="BJ328" s="53">
        <f t="shared" si="403"/>
        <v>0</v>
      </c>
      <c r="BK328" s="54" t="s">
        <v>117</v>
      </c>
      <c r="BL328" s="53">
        <v>96</v>
      </c>
      <c r="BW328" s="53">
        <v>21</v>
      </c>
      <c r="BX328" s="3" t="s">
        <v>1054</v>
      </c>
    </row>
    <row r="329" spans="1:76" ht="23" x14ac:dyDescent="0.35">
      <c r="A329" s="1" t="s">
        <v>1055</v>
      </c>
      <c r="B329" s="2" t="s">
        <v>1056</v>
      </c>
      <c r="C329" s="91" t="s">
        <v>1057</v>
      </c>
      <c r="D329" s="88"/>
      <c r="E329" s="2" t="s">
        <v>113</v>
      </c>
      <c r="F329" s="53">
        <v>26.78</v>
      </c>
      <c r="G329" s="77">
        <v>0</v>
      </c>
      <c r="H329" s="53">
        <f t="shared" si="384"/>
        <v>0</v>
      </c>
      <c r="I329" s="79" t="s">
        <v>1688</v>
      </c>
      <c r="J329" s="49"/>
      <c r="Z329" s="53">
        <f t="shared" si="385"/>
        <v>0</v>
      </c>
      <c r="AB329" s="53">
        <f t="shared" si="386"/>
        <v>0</v>
      </c>
      <c r="AC329" s="53">
        <f t="shared" si="387"/>
        <v>0</v>
      </c>
      <c r="AD329" s="53">
        <f t="shared" si="388"/>
        <v>0</v>
      </c>
      <c r="AE329" s="53">
        <f t="shared" si="389"/>
        <v>0</v>
      </c>
      <c r="AF329" s="53">
        <f t="shared" si="390"/>
        <v>0</v>
      </c>
      <c r="AG329" s="53">
        <f t="shared" si="391"/>
        <v>0</v>
      </c>
      <c r="AH329" s="53">
        <f t="shared" si="392"/>
        <v>0</v>
      </c>
      <c r="AI329" s="36" t="s">
        <v>10</v>
      </c>
      <c r="AJ329" s="53">
        <f t="shared" si="393"/>
        <v>0</v>
      </c>
      <c r="AK329" s="53">
        <f t="shared" si="394"/>
        <v>0</v>
      </c>
      <c r="AL329" s="53">
        <f t="shared" si="395"/>
        <v>0</v>
      </c>
      <c r="AN329" s="53">
        <v>21</v>
      </c>
      <c r="AO329" s="53">
        <f>G329*0.030203546</f>
        <v>0</v>
      </c>
      <c r="AP329" s="53">
        <f>G329*(1-0.030203546)</f>
        <v>0</v>
      </c>
      <c r="AQ329" s="54" t="s">
        <v>110</v>
      </c>
      <c r="AV329" s="53">
        <f t="shared" si="396"/>
        <v>0</v>
      </c>
      <c r="AW329" s="53">
        <f t="shared" si="397"/>
        <v>0</v>
      </c>
      <c r="AX329" s="53">
        <f t="shared" si="398"/>
        <v>0</v>
      </c>
      <c r="AY329" s="54" t="s">
        <v>1015</v>
      </c>
      <c r="AZ329" s="54" t="s">
        <v>983</v>
      </c>
      <c r="BA329" s="36" t="s">
        <v>116</v>
      </c>
      <c r="BC329" s="53">
        <f t="shared" si="399"/>
        <v>0</v>
      </c>
      <c r="BD329" s="53">
        <f t="shared" si="400"/>
        <v>0</v>
      </c>
      <c r="BE329" s="53">
        <v>0</v>
      </c>
      <c r="BF329" s="53">
        <f>329</f>
        <v>329</v>
      </c>
      <c r="BH329" s="53">
        <f t="shared" si="401"/>
        <v>0</v>
      </c>
      <c r="BI329" s="53">
        <f t="shared" si="402"/>
        <v>0</v>
      </c>
      <c r="BJ329" s="53">
        <f t="shared" si="403"/>
        <v>0</v>
      </c>
      <c r="BK329" s="54" t="s">
        <v>117</v>
      </c>
      <c r="BL329" s="53">
        <v>96</v>
      </c>
      <c r="BW329" s="53">
        <v>21</v>
      </c>
      <c r="BX329" s="3" t="s">
        <v>1057</v>
      </c>
    </row>
    <row r="330" spans="1:76" ht="23" x14ac:dyDescent="0.35">
      <c r="A330" s="1" t="s">
        <v>1058</v>
      </c>
      <c r="B330" s="2" t="s">
        <v>1059</v>
      </c>
      <c r="C330" s="91" t="s">
        <v>1060</v>
      </c>
      <c r="D330" s="88"/>
      <c r="E330" s="2" t="s">
        <v>113</v>
      </c>
      <c r="F330" s="53">
        <v>7.56</v>
      </c>
      <c r="G330" s="77">
        <v>0</v>
      </c>
      <c r="H330" s="53">
        <f t="shared" si="384"/>
        <v>0</v>
      </c>
      <c r="I330" s="79" t="s">
        <v>1688</v>
      </c>
      <c r="J330" s="49"/>
      <c r="Z330" s="53">
        <f t="shared" si="385"/>
        <v>0</v>
      </c>
      <c r="AB330" s="53">
        <f t="shared" si="386"/>
        <v>0</v>
      </c>
      <c r="AC330" s="53">
        <f t="shared" si="387"/>
        <v>0</v>
      </c>
      <c r="AD330" s="53">
        <f t="shared" si="388"/>
        <v>0</v>
      </c>
      <c r="AE330" s="53">
        <f t="shared" si="389"/>
        <v>0</v>
      </c>
      <c r="AF330" s="53">
        <f t="shared" si="390"/>
        <v>0</v>
      </c>
      <c r="AG330" s="53">
        <f t="shared" si="391"/>
        <v>0</v>
      </c>
      <c r="AH330" s="53">
        <f t="shared" si="392"/>
        <v>0</v>
      </c>
      <c r="AI330" s="36" t="s">
        <v>10</v>
      </c>
      <c r="AJ330" s="53">
        <f t="shared" si="393"/>
        <v>0</v>
      </c>
      <c r="AK330" s="53">
        <f t="shared" si="394"/>
        <v>0</v>
      </c>
      <c r="AL330" s="53">
        <f t="shared" si="395"/>
        <v>0</v>
      </c>
      <c r="AN330" s="53">
        <v>21</v>
      </c>
      <c r="AO330" s="53">
        <f>G330*0</f>
        <v>0</v>
      </c>
      <c r="AP330" s="53">
        <f>G330*(1-0)</f>
        <v>0</v>
      </c>
      <c r="AQ330" s="54" t="s">
        <v>110</v>
      </c>
      <c r="AV330" s="53">
        <f t="shared" si="396"/>
        <v>0</v>
      </c>
      <c r="AW330" s="53">
        <f t="shared" si="397"/>
        <v>0</v>
      </c>
      <c r="AX330" s="53">
        <f t="shared" si="398"/>
        <v>0</v>
      </c>
      <c r="AY330" s="54" t="s">
        <v>1015</v>
      </c>
      <c r="AZ330" s="54" t="s">
        <v>983</v>
      </c>
      <c r="BA330" s="36" t="s">
        <v>116</v>
      </c>
      <c r="BC330" s="53">
        <f t="shared" si="399"/>
        <v>0</v>
      </c>
      <c r="BD330" s="53">
        <f t="shared" si="400"/>
        <v>0</v>
      </c>
      <c r="BE330" s="53">
        <v>0</v>
      </c>
      <c r="BF330" s="53">
        <f>330</f>
        <v>330</v>
      </c>
      <c r="BH330" s="53">
        <f t="shared" si="401"/>
        <v>0</v>
      </c>
      <c r="BI330" s="53">
        <f t="shared" si="402"/>
        <v>0</v>
      </c>
      <c r="BJ330" s="53">
        <f t="shared" si="403"/>
        <v>0</v>
      </c>
      <c r="BK330" s="54" t="s">
        <v>117</v>
      </c>
      <c r="BL330" s="53">
        <v>96</v>
      </c>
      <c r="BW330" s="53">
        <v>21</v>
      </c>
      <c r="BX330" s="3" t="s">
        <v>1060</v>
      </c>
    </row>
    <row r="331" spans="1:76" ht="23" x14ac:dyDescent="0.35">
      <c r="A331" s="1" t="s">
        <v>1061</v>
      </c>
      <c r="B331" s="2" t="s">
        <v>1062</v>
      </c>
      <c r="C331" s="91" t="s">
        <v>1063</v>
      </c>
      <c r="D331" s="88"/>
      <c r="E331" s="2" t="s">
        <v>113</v>
      </c>
      <c r="F331" s="53">
        <v>7.5</v>
      </c>
      <c r="G331" s="77">
        <v>0</v>
      </c>
      <c r="H331" s="53">
        <f t="shared" si="384"/>
        <v>0</v>
      </c>
      <c r="I331" s="79" t="s">
        <v>1688</v>
      </c>
      <c r="J331" s="49"/>
      <c r="Z331" s="53">
        <f t="shared" si="385"/>
        <v>0</v>
      </c>
      <c r="AB331" s="53">
        <f t="shared" si="386"/>
        <v>0</v>
      </c>
      <c r="AC331" s="53">
        <f t="shared" si="387"/>
        <v>0</v>
      </c>
      <c r="AD331" s="53">
        <f t="shared" si="388"/>
        <v>0</v>
      </c>
      <c r="AE331" s="53">
        <f t="shared" si="389"/>
        <v>0</v>
      </c>
      <c r="AF331" s="53">
        <f t="shared" si="390"/>
        <v>0</v>
      </c>
      <c r="AG331" s="53">
        <f t="shared" si="391"/>
        <v>0</v>
      </c>
      <c r="AH331" s="53">
        <f t="shared" si="392"/>
        <v>0</v>
      </c>
      <c r="AI331" s="36" t="s">
        <v>10</v>
      </c>
      <c r="AJ331" s="53">
        <f t="shared" si="393"/>
        <v>0</v>
      </c>
      <c r="AK331" s="53">
        <f t="shared" si="394"/>
        <v>0</v>
      </c>
      <c r="AL331" s="53">
        <f t="shared" si="395"/>
        <v>0</v>
      </c>
      <c r="AN331" s="53">
        <v>21</v>
      </c>
      <c r="AO331" s="53">
        <f>G331*0.022832861</f>
        <v>0</v>
      </c>
      <c r="AP331" s="53">
        <f>G331*(1-0.022832861)</f>
        <v>0</v>
      </c>
      <c r="AQ331" s="54" t="s">
        <v>110</v>
      </c>
      <c r="AV331" s="53">
        <f t="shared" si="396"/>
        <v>0</v>
      </c>
      <c r="AW331" s="53">
        <f t="shared" si="397"/>
        <v>0</v>
      </c>
      <c r="AX331" s="53">
        <f t="shared" si="398"/>
        <v>0</v>
      </c>
      <c r="AY331" s="54" t="s">
        <v>1015</v>
      </c>
      <c r="AZ331" s="54" t="s">
        <v>983</v>
      </c>
      <c r="BA331" s="36" t="s">
        <v>116</v>
      </c>
      <c r="BC331" s="53">
        <f t="shared" si="399"/>
        <v>0</v>
      </c>
      <c r="BD331" s="53">
        <f t="shared" si="400"/>
        <v>0</v>
      </c>
      <c r="BE331" s="53">
        <v>0</v>
      </c>
      <c r="BF331" s="53">
        <f>331</f>
        <v>331</v>
      </c>
      <c r="BH331" s="53">
        <f t="shared" si="401"/>
        <v>0</v>
      </c>
      <c r="BI331" s="53">
        <f t="shared" si="402"/>
        <v>0</v>
      </c>
      <c r="BJ331" s="53">
        <f t="shared" si="403"/>
        <v>0</v>
      </c>
      <c r="BK331" s="54" t="s">
        <v>117</v>
      </c>
      <c r="BL331" s="53">
        <v>96</v>
      </c>
      <c r="BW331" s="53">
        <v>21</v>
      </c>
      <c r="BX331" s="3" t="s">
        <v>1063</v>
      </c>
    </row>
    <row r="332" spans="1:76" ht="23" x14ac:dyDescent="0.35">
      <c r="A332" s="1" t="s">
        <v>1064</v>
      </c>
      <c r="B332" s="2" t="s">
        <v>1065</v>
      </c>
      <c r="C332" s="91" t="s">
        <v>1066</v>
      </c>
      <c r="D332" s="88"/>
      <c r="E332" s="2" t="s">
        <v>121</v>
      </c>
      <c r="F332" s="53">
        <v>2</v>
      </c>
      <c r="G332" s="77">
        <v>0</v>
      </c>
      <c r="H332" s="53">
        <f t="shared" si="384"/>
        <v>0</v>
      </c>
      <c r="I332" s="79" t="s">
        <v>1688</v>
      </c>
      <c r="J332" s="49"/>
      <c r="Z332" s="53">
        <f t="shared" si="385"/>
        <v>0</v>
      </c>
      <c r="AB332" s="53">
        <f t="shared" si="386"/>
        <v>0</v>
      </c>
      <c r="AC332" s="53">
        <f t="shared" si="387"/>
        <v>0</v>
      </c>
      <c r="AD332" s="53">
        <f t="shared" si="388"/>
        <v>0</v>
      </c>
      <c r="AE332" s="53">
        <f t="shared" si="389"/>
        <v>0</v>
      </c>
      <c r="AF332" s="53">
        <f t="shared" si="390"/>
        <v>0</v>
      </c>
      <c r="AG332" s="53">
        <f t="shared" si="391"/>
        <v>0</v>
      </c>
      <c r="AH332" s="53">
        <f t="shared" si="392"/>
        <v>0</v>
      </c>
      <c r="AI332" s="36" t="s">
        <v>10</v>
      </c>
      <c r="AJ332" s="53">
        <f t="shared" si="393"/>
        <v>0</v>
      </c>
      <c r="AK332" s="53">
        <f t="shared" si="394"/>
        <v>0</v>
      </c>
      <c r="AL332" s="53">
        <f t="shared" si="395"/>
        <v>0</v>
      </c>
      <c r="AN332" s="53">
        <v>21</v>
      </c>
      <c r="AO332" s="53">
        <f>G332*0.127588147</f>
        <v>0</v>
      </c>
      <c r="AP332" s="53">
        <f>G332*(1-0.127588147)</f>
        <v>0</v>
      </c>
      <c r="AQ332" s="54" t="s">
        <v>110</v>
      </c>
      <c r="AV332" s="53">
        <f t="shared" si="396"/>
        <v>0</v>
      </c>
      <c r="AW332" s="53">
        <f t="shared" si="397"/>
        <v>0</v>
      </c>
      <c r="AX332" s="53">
        <f t="shared" si="398"/>
        <v>0</v>
      </c>
      <c r="AY332" s="54" t="s">
        <v>1015</v>
      </c>
      <c r="AZ332" s="54" t="s">
        <v>983</v>
      </c>
      <c r="BA332" s="36" t="s">
        <v>116</v>
      </c>
      <c r="BC332" s="53">
        <f t="shared" si="399"/>
        <v>0</v>
      </c>
      <c r="BD332" s="53">
        <f t="shared" si="400"/>
        <v>0</v>
      </c>
      <c r="BE332" s="53">
        <v>0</v>
      </c>
      <c r="BF332" s="53">
        <f>332</f>
        <v>332</v>
      </c>
      <c r="BH332" s="53">
        <f t="shared" si="401"/>
        <v>0</v>
      </c>
      <c r="BI332" s="53">
        <f t="shared" si="402"/>
        <v>0</v>
      </c>
      <c r="BJ332" s="53">
        <f t="shared" si="403"/>
        <v>0</v>
      </c>
      <c r="BK332" s="54" t="s">
        <v>117</v>
      </c>
      <c r="BL332" s="53">
        <v>96</v>
      </c>
      <c r="BW332" s="53">
        <v>21</v>
      </c>
      <c r="BX332" s="3" t="s">
        <v>1066</v>
      </c>
    </row>
    <row r="333" spans="1:76" ht="14.5" x14ac:dyDescent="0.35">
      <c r="A333" s="50" t="s">
        <v>10</v>
      </c>
      <c r="B333" s="51" t="s">
        <v>1067</v>
      </c>
      <c r="C333" s="172" t="s">
        <v>1068</v>
      </c>
      <c r="D333" s="173"/>
      <c r="E333" s="52" t="s">
        <v>75</v>
      </c>
      <c r="F333" s="52" t="s">
        <v>75</v>
      </c>
      <c r="G333" s="52" t="s">
        <v>75</v>
      </c>
      <c r="H333" s="28">
        <f>SUM(H334:H334)</f>
        <v>0</v>
      </c>
      <c r="I333" s="36" t="s">
        <v>10</v>
      </c>
      <c r="J333" s="49"/>
      <c r="AI333" s="36" t="s">
        <v>10</v>
      </c>
      <c r="AS333" s="28">
        <f>SUM(AJ334:AJ334)</f>
        <v>0</v>
      </c>
      <c r="AT333" s="28">
        <f>SUM(AK334:AK334)</f>
        <v>0</v>
      </c>
      <c r="AU333" s="28">
        <f>SUM(AL334:AL334)</f>
        <v>0</v>
      </c>
    </row>
    <row r="334" spans="1:76" ht="23" x14ac:dyDescent="0.35">
      <c r="A334" s="1" t="s">
        <v>1069</v>
      </c>
      <c r="B334" s="2" t="s">
        <v>1070</v>
      </c>
      <c r="C334" s="91" t="s">
        <v>1071</v>
      </c>
      <c r="D334" s="88"/>
      <c r="E334" s="2" t="s">
        <v>183</v>
      </c>
      <c r="F334" s="53">
        <v>252</v>
      </c>
      <c r="G334" s="77">
        <v>0</v>
      </c>
      <c r="H334" s="53">
        <f>ROUND(F334*G334,2)</f>
        <v>0</v>
      </c>
      <c r="I334" s="79" t="s">
        <v>1688</v>
      </c>
      <c r="J334" s="49"/>
      <c r="Z334" s="53">
        <f>ROUND(IF(AQ334="5",BJ334,0),2)</f>
        <v>0</v>
      </c>
      <c r="AB334" s="53">
        <f>ROUND(IF(AQ334="1",BH334,0),2)</f>
        <v>0</v>
      </c>
      <c r="AC334" s="53">
        <f>ROUND(IF(AQ334="1",BI334,0),2)</f>
        <v>0</v>
      </c>
      <c r="AD334" s="53">
        <f>ROUND(IF(AQ334="7",BH334,0),2)</f>
        <v>0</v>
      </c>
      <c r="AE334" s="53">
        <f>ROUND(IF(AQ334="7",BI334,0),2)</f>
        <v>0</v>
      </c>
      <c r="AF334" s="53">
        <f>ROUND(IF(AQ334="2",BH334,0),2)</f>
        <v>0</v>
      </c>
      <c r="AG334" s="53">
        <f>ROUND(IF(AQ334="2",BI334,0),2)</f>
        <v>0</v>
      </c>
      <c r="AH334" s="53">
        <f>ROUND(IF(AQ334="0",BJ334,0),2)</f>
        <v>0</v>
      </c>
      <c r="AI334" s="36" t="s">
        <v>10</v>
      </c>
      <c r="AJ334" s="53">
        <f>IF(AN334=0,H334,0)</f>
        <v>0</v>
      </c>
      <c r="AK334" s="53">
        <f>IF(AN334=12,H334,0)</f>
        <v>0</v>
      </c>
      <c r="AL334" s="53">
        <f>IF(AN334=21,H334,0)</f>
        <v>0</v>
      </c>
      <c r="AN334" s="53">
        <v>21</v>
      </c>
      <c r="AO334" s="53">
        <f>G334*0</f>
        <v>0</v>
      </c>
      <c r="AP334" s="53">
        <f>G334*(1-0)</f>
        <v>0</v>
      </c>
      <c r="AQ334" s="54" t="s">
        <v>128</v>
      </c>
      <c r="AV334" s="53">
        <f>ROUND(AW334+AX334,2)</f>
        <v>0</v>
      </c>
      <c r="AW334" s="53">
        <f>ROUND(F334*AO334,2)</f>
        <v>0</v>
      </c>
      <c r="AX334" s="53">
        <f>ROUND(F334*AP334,2)</f>
        <v>0</v>
      </c>
      <c r="AY334" s="54" t="s">
        <v>1072</v>
      </c>
      <c r="AZ334" s="54" t="s">
        <v>983</v>
      </c>
      <c r="BA334" s="36" t="s">
        <v>116</v>
      </c>
      <c r="BC334" s="53">
        <f>AW334+AX334</f>
        <v>0</v>
      </c>
      <c r="BD334" s="53">
        <f>G334/(100-BE334)*100</f>
        <v>0</v>
      </c>
      <c r="BE334" s="53">
        <v>0</v>
      </c>
      <c r="BF334" s="53">
        <f>334</f>
        <v>334</v>
      </c>
      <c r="BH334" s="53">
        <f>F334*AO334</f>
        <v>0</v>
      </c>
      <c r="BI334" s="53">
        <f>F334*AP334</f>
        <v>0</v>
      </c>
      <c r="BJ334" s="53">
        <f>F334*G334</f>
        <v>0</v>
      </c>
      <c r="BK334" s="54" t="s">
        <v>117</v>
      </c>
      <c r="BL334" s="53"/>
      <c r="BW334" s="53">
        <v>21</v>
      </c>
      <c r="BX334" s="3" t="s">
        <v>1071</v>
      </c>
    </row>
    <row r="335" spans="1:76" ht="14.5" x14ac:dyDescent="0.35">
      <c r="A335" s="50" t="s">
        <v>10</v>
      </c>
      <c r="B335" s="51" t="s">
        <v>1073</v>
      </c>
      <c r="C335" s="172" t="s">
        <v>1074</v>
      </c>
      <c r="D335" s="173"/>
      <c r="E335" s="52" t="s">
        <v>75</v>
      </c>
      <c r="F335" s="52" t="s">
        <v>75</v>
      </c>
      <c r="G335" s="52" t="s">
        <v>75</v>
      </c>
      <c r="H335" s="28">
        <f>SUM(H336:H387)</f>
        <v>0</v>
      </c>
      <c r="I335" s="36" t="s">
        <v>10</v>
      </c>
      <c r="J335" s="49"/>
      <c r="AI335" s="36" t="s">
        <v>10</v>
      </c>
      <c r="AS335" s="28">
        <f>SUM(AJ336:AJ387)</f>
        <v>0</v>
      </c>
      <c r="AT335" s="28">
        <f>SUM(AK336:AK387)</f>
        <v>0</v>
      </c>
      <c r="AU335" s="28">
        <f>SUM(AL336:AL387)</f>
        <v>0</v>
      </c>
    </row>
    <row r="336" spans="1:76" ht="23" x14ac:dyDescent="0.35">
      <c r="A336" s="1" t="s">
        <v>1075</v>
      </c>
      <c r="B336" s="2" t="s">
        <v>1076</v>
      </c>
      <c r="C336" s="91" t="s">
        <v>1077</v>
      </c>
      <c r="D336" s="88"/>
      <c r="E336" s="2" t="s">
        <v>434</v>
      </c>
      <c r="F336" s="53">
        <v>4</v>
      </c>
      <c r="G336" s="77">
        <v>0</v>
      </c>
      <c r="H336" s="53">
        <f t="shared" ref="H336:H367" si="404">ROUND(F336*G336,2)</f>
        <v>0</v>
      </c>
      <c r="I336" s="79" t="s">
        <v>1688</v>
      </c>
      <c r="J336" s="49"/>
      <c r="Z336" s="53">
        <f t="shared" ref="Z336:Z367" si="405">ROUND(IF(AQ336="5",BJ336,0),2)</f>
        <v>0</v>
      </c>
      <c r="AB336" s="53">
        <f t="shared" ref="AB336:AB367" si="406">ROUND(IF(AQ336="1",BH336,0),2)</f>
        <v>0</v>
      </c>
      <c r="AC336" s="53">
        <f t="shared" ref="AC336:AC367" si="407">ROUND(IF(AQ336="1",BI336,0),2)</f>
        <v>0</v>
      </c>
      <c r="AD336" s="53">
        <f t="shared" ref="AD336:AD367" si="408">ROUND(IF(AQ336="7",BH336,0),2)</f>
        <v>0</v>
      </c>
      <c r="AE336" s="53">
        <f t="shared" ref="AE336:AE367" si="409">ROUND(IF(AQ336="7",BI336,0),2)</f>
        <v>0</v>
      </c>
      <c r="AF336" s="53">
        <f t="shared" ref="AF336:AF367" si="410">ROUND(IF(AQ336="2",BH336,0),2)</f>
        <v>0</v>
      </c>
      <c r="AG336" s="53">
        <f t="shared" ref="AG336:AG367" si="411">ROUND(IF(AQ336="2",BI336,0),2)</f>
        <v>0</v>
      </c>
      <c r="AH336" s="53">
        <f t="shared" ref="AH336:AH367" si="412">ROUND(IF(AQ336="0",BJ336,0),2)</f>
        <v>0</v>
      </c>
      <c r="AI336" s="36" t="s">
        <v>10</v>
      </c>
      <c r="AJ336" s="53">
        <f t="shared" ref="AJ336:AJ367" si="413">IF(AN336=0,H336,0)</f>
        <v>0</v>
      </c>
      <c r="AK336" s="53">
        <f t="shared" ref="AK336:AK367" si="414">IF(AN336=12,H336,0)</f>
        <v>0</v>
      </c>
      <c r="AL336" s="53">
        <f t="shared" ref="AL336:AL367" si="415">IF(AN336=21,H336,0)</f>
        <v>0</v>
      </c>
      <c r="AN336" s="53">
        <v>21</v>
      </c>
      <c r="AO336" s="53">
        <f>G336*0.682457224</f>
        <v>0</v>
      </c>
      <c r="AP336" s="53">
        <f>G336*(1-0.682457224)</f>
        <v>0</v>
      </c>
      <c r="AQ336" s="54" t="s">
        <v>118</v>
      </c>
      <c r="AV336" s="53">
        <f t="shared" ref="AV336:AV367" si="416">ROUND(AW336+AX336,2)</f>
        <v>0</v>
      </c>
      <c r="AW336" s="53">
        <f t="shared" ref="AW336:AW367" si="417">ROUND(F336*AO336,2)</f>
        <v>0</v>
      </c>
      <c r="AX336" s="53">
        <f t="shared" ref="AX336:AX367" si="418">ROUND(F336*AP336,2)</f>
        <v>0</v>
      </c>
      <c r="AY336" s="54" t="s">
        <v>1078</v>
      </c>
      <c r="AZ336" s="54" t="s">
        <v>983</v>
      </c>
      <c r="BA336" s="36" t="s">
        <v>116</v>
      </c>
      <c r="BC336" s="53">
        <f t="shared" ref="BC336:BC367" si="419">AW336+AX336</f>
        <v>0</v>
      </c>
      <c r="BD336" s="53">
        <f t="shared" ref="BD336:BD367" si="420">G336/(100-BE336)*100</f>
        <v>0</v>
      </c>
      <c r="BE336" s="53">
        <v>0</v>
      </c>
      <c r="BF336" s="53">
        <f>336</f>
        <v>336</v>
      </c>
      <c r="BH336" s="53">
        <f t="shared" ref="BH336:BH367" si="421">F336*AO336</f>
        <v>0</v>
      </c>
      <c r="BI336" s="53">
        <f t="shared" ref="BI336:BI367" si="422">F336*AP336</f>
        <v>0</v>
      </c>
      <c r="BJ336" s="53">
        <f t="shared" ref="BJ336:BJ367" si="423">F336*G336</f>
        <v>0</v>
      </c>
      <c r="BK336" s="54" t="s">
        <v>117</v>
      </c>
      <c r="BL336" s="53"/>
      <c r="BW336" s="53">
        <v>21</v>
      </c>
      <c r="BX336" s="3" t="s">
        <v>1077</v>
      </c>
    </row>
    <row r="337" spans="1:76" ht="23" x14ac:dyDescent="0.35">
      <c r="A337" s="1" t="s">
        <v>1079</v>
      </c>
      <c r="B337" s="2" t="s">
        <v>1080</v>
      </c>
      <c r="C337" s="91" t="s">
        <v>1081</v>
      </c>
      <c r="D337" s="88"/>
      <c r="E337" s="2" t="s">
        <v>434</v>
      </c>
      <c r="F337" s="53">
        <v>3</v>
      </c>
      <c r="G337" s="77">
        <v>0</v>
      </c>
      <c r="H337" s="53">
        <f t="shared" si="404"/>
        <v>0</v>
      </c>
      <c r="I337" s="79" t="s">
        <v>1688</v>
      </c>
      <c r="J337" s="49"/>
      <c r="Z337" s="53">
        <f t="shared" si="405"/>
        <v>0</v>
      </c>
      <c r="AB337" s="53">
        <f t="shared" si="406"/>
        <v>0</v>
      </c>
      <c r="AC337" s="53">
        <f t="shared" si="407"/>
        <v>0</v>
      </c>
      <c r="AD337" s="53">
        <f t="shared" si="408"/>
        <v>0</v>
      </c>
      <c r="AE337" s="53">
        <f t="shared" si="409"/>
        <v>0</v>
      </c>
      <c r="AF337" s="53">
        <f t="shared" si="410"/>
        <v>0</v>
      </c>
      <c r="AG337" s="53">
        <f t="shared" si="411"/>
        <v>0</v>
      </c>
      <c r="AH337" s="53">
        <f t="shared" si="412"/>
        <v>0</v>
      </c>
      <c r="AI337" s="36" t="s">
        <v>10</v>
      </c>
      <c r="AJ337" s="53">
        <f t="shared" si="413"/>
        <v>0</v>
      </c>
      <c r="AK337" s="53">
        <f t="shared" si="414"/>
        <v>0</v>
      </c>
      <c r="AL337" s="53">
        <f t="shared" si="415"/>
        <v>0</v>
      </c>
      <c r="AN337" s="53">
        <v>21</v>
      </c>
      <c r="AO337" s="53">
        <f>G337*0.572151394</f>
        <v>0</v>
      </c>
      <c r="AP337" s="53">
        <f>G337*(1-0.572151394)</f>
        <v>0</v>
      </c>
      <c r="AQ337" s="54" t="s">
        <v>118</v>
      </c>
      <c r="AV337" s="53">
        <f t="shared" si="416"/>
        <v>0</v>
      </c>
      <c r="AW337" s="53">
        <f t="shared" si="417"/>
        <v>0</v>
      </c>
      <c r="AX337" s="53">
        <f t="shared" si="418"/>
        <v>0</v>
      </c>
      <c r="AY337" s="54" t="s">
        <v>1078</v>
      </c>
      <c r="AZ337" s="54" t="s">
        <v>983</v>
      </c>
      <c r="BA337" s="36" t="s">
        <v>116</v>
      </c>
      <c r="BC337" s="53">
        <f t="shared" si="419"/>
        <v>0</v>
      </c>
      <c r="BD337" s="53">
        <f t="shared" si="420"/>
        <v>0</v>
      </c>
      <c r="BE337" s="53">
        <v>0</v>
      </c>
      <c r="BF337" s="53">
        <f>337</f>
        <v>337</v>
      </c>
      <c r="BH337" s="53">
        <f t="shared" si="421"/>
        <v>0</v>
      </c>
      <c r="BI337" s="53">
        <f t="shared" si="422"/>
        <v>0</v>
      </c>
      <c r="BJ337" s="53">
        <f t="shared" si="423"/>
        <v>0</v>
      </c>
      <c r="BK337" s="54" t="s">
        <v>117</v>
      </c>
      <c r="BL337" s="53"/>
      <c r="BW337" s="53">
        <v>21</v>
      </c>
      <c r="BX337" s="3" t="s">
        <v>1081</v>
      </c>
    </row>
    <row r="338" spans="1:76" ht="23" x14ac:dyDescent="0.35">
      <c r="A338" s="1" t="s">
        <v>1082</v>
      </c>
      <c r="B338" s="2" t="s">
        <v>1083</v>
      </c>
      <c r="C338" s="91" t="s">
        <v>1084</v>
      </c>
      <c r="D338" s="88"/>
      <c r="E338" s="2" t="s">
        <v>434</v>
      </c>
      <c r="F338" s="53">
        <v>55</v>
      </c>
      <c r="G338" s="77">
        <v>0</v>
      </c>
      <c r="H338" s="53">
        <f t="shared" si="404"/>
        <v>0</v>
      </c>
      <c r="I338" s="79" t="s">
        <v>1688</v>
      </c>
      <c r="J338" s="49"/>
      <c r="Z338" s="53">
        <f t="shared" si="405"/>
        <v>0</v>
      </c>
      <c r="AB338" s="53">
        <f t="shared" si="406"/>
        <v>0</v>
      </c>
      <c r="AC338" s="53">
        <f t="shared" si="407"/>
        <v>0</v>
      </c>
      <c r="AD338" s="53">
        <f t="shared" si="408"/>
        <v>0</v>
      </c>
      <c r="AE338" s="53">
        <f t="shared" si="409"/>
        <v>0</v>
      </c>
      <c r="AF338" s="53">
        <f t="shared" si="410"/>
        <v>0</v>
      </c>
      <c r="AG338" s="53">
        <f t="shared" si="411"/>
        <v>0</v>
      </c>
      <c r="AH338" s="53">
        <f t="shared" si="412"/>
        <v>0</v>
      </c>
      <c r="AI338" s="36" t="s">
        <v>10</v>
      </c>
      <c r="AJ338" s="53">
        <f t="shared" si="413"/>
        <v>0</v>
      </c>
      <c r="AK338" s="53">
        <f t="shared" si="414"/>
        <v>0</v>
      </c>
      <c r="AL338" s="53">
        <f t="shared" si="415"/>
        <v>0</v>
      </c>
      <c r="AN338" s="53">
        <v>21</v>
      </c>
      <c r="AO338" s="53">
        <f>G338*0.665479583</f>
        <v>0</v>
      </c>
      <c r="AP338" s="53">
        <f>G338*(1-0.665479583)</f>
        <v>0</v>
      </c>
      <c r="AQ338" s="54" t="s">
        <v>118</v>
      </c>
      <c r="AV338" s="53">
        <f t="shared" si="416"/>
        <v>0</v>
      </c>
      <c r="AW338" s="53">
        <f t="shared" si="417"/>
        <v>0</v>
      </c>
      <c r="AX338" s="53">
        <f t="shared" si="418"/>
        <v>0</v>
      </c>
      <c r="AY338" s="54" t="s">
        <v>1078</v>
      </c>
      <c r="AZ338" s="54" t="s">
        <v>983</v>
      </c>
      <c r="BA338" s="36" t="s">
        <v>116</v>
      </c>
      <c r="BC338" s="53">
        <f t="shared" si="419"/>
        <v>0</v>
      </c>
      <c r="BD338" s="53">
        <f t="shared" si="420"/>
        <v>0</v>
      </c>
      <c r="BE338" s="53">
        <v>0</v>
      </c>
      <c r="BF338" s="53">
        <f>338</f>
        <v>338</v>
      </c>
      <c r="BH338" s="53">
        <f t="shared" si="421"/>
        <v>0</v>
      </c>
      <c r="BI338" s="53">
        <f t="shared" si="422"/>
        <v>0</v>
      </c>
      <c r="BJ338" s="53">
        <f t="shared" si="423"/>
        <v>0</v>
      </c>
      <c r="BK338" s="54" t="s">
        <v>117</v>
      </c>
      <c r="BL338" s="53"/>
      <c r="BW338" s="53">
        <v>21</v>
      </c>
      <c r="BX338" s="3" t="s">
        <v>1084</v>
      </c>
    </row>
    <row r="339" spans="1:76" ht="23" x14ac:dyDescent="0.35">
      <c r="A339" s="1" t="s">
        <v>1085</v>
      </c>
      <c r="B339" s="2" t="s">
        <v>1086</v>
      </c>
      <c r="C339" s="91" t="s">
        <v>1087</v>
      </c>
      <c r="D339" s="88"/>
      <c r="E339" s="2" t="s">
        <v>434</v>
      </c>
      <c r="F339" s="53">
        <v>9</v>
      </c>
      <c r="G339" s="77">
        <v>0</v>
      </c>
      <c r="H339" s="53">
        <f t="shared" si="404"/>
        <v>0</v>
      </c>
      <c r="I339" s="79" t="s">
        <v>1688</v>
      </c>
      <c r="J339" s="49"/>
      <c r="Z339" s="53">
        <f t="shared" si="405"/>
        <v>0</v>
      </c>
      <c r="AB339" s="53">
        <f t="shared" si="406"/>
        <v>0</v>
      </c>
      <c r="AC339" s="53">
        <f t="shared" si="407"/>
        <v>0</v>
      </c>
      <c r="AD339" s="53">
        <f t="shared" si="408"/>
        <v>0</v>
      </c>
      <c r="AE339" s="53">
        <f t="shared" si="409"/>
        <v>0</v>
      </c>
      <c r="AF339" s="53">
        <f t="shared" si="410"/>
        <v>0</v>
      </c>
      <c r="AG339" s="53">
        <f t="shared" si="411"/>
        <v>0</v>
      </c>
      <c r="AH339" s="53">
        <f t="shared" si="412"/>
        <v>0</v>
      </c>
      <c r="AI339" s="36" t="s">
        <v>10</v>
      </c>
      <c r="AJ339" s="53">
        <f t="shared" si="413"/>
        <v>0</v>
      </c>
      <c r="AK339" s="53">
        <f t="shared" si="414"/>
        <v>0</v>
      </c>
      <c r="AL339" s="53">
        <f t="shared" si="415"/>
        <v>0</v>
      </c>
      <c r="AN339" s="53">
        <v>21</v>
      </c>
      <c r="AO339" s="53">
        <f>G339*0.678824242</f>
        <v>0</v>
      </c>
      <c r="AP339" s="53">
        <f>G339*(1-0.678824242)</f>
        <v>0</v>
      </c>
      <c r="AQ339" s="54" t="s">
        <v>118</v>
      </c>
      <c r="AV339" s="53">
        <f t="shared" si="416"/>
        <v>0</v>
      </c>
      <c r="AW339" s="53">
        <f t="shared" si="417"/>
        <v>0</v>
      </c>
      <c r="AX339" s="53">
        <f t="shared" si="418"/>
        <v>0</v>
      </c>
      <c r="AY339" s="54" t="s">
        <v>1078</v>
      </c>
      <c r="AZ339" s="54" t="s">
        <v>983</v>
      </c>
      <c r="BA339" s="36" t="s">
        <v>116</v>
      </c>
      <c r="BC339" s="53">
        <f t="shared" si="419"/>
        <v>0</v>
      </c>
      <c r="BD339" s="53">
        <f t="shared" si="420"/>
        <v>0</v>
      </c>
      <c r="BE339" s="53">
        <v>0</v>
      </c>
      <c r="BF339" s="53">
        <f>339</f>
        <v>339</v>
      </c>
      <c r="BH339" s="53">
        <f t="shared" si="421"/>
        <v>0</v>
      </c>
      <c r="BI339" s="53">
        <f t="shared" si="422"/>
        <v>0</v>
      </c>
      <c r="BJ339" s="53">
        <f t="shared" si="423"/>
        <v>0</v>
      </c>
      <c r="BK339" s="54" t="s">
        <v>117</v>
      </c>
      <c r="BL339" s="53"/>
      <c r="BW339" s="53">
        <v>21</v>
      </c>
      <c r="BX339" s="3" t="s">
        <v>1087</v>
      </c>
    </row>
    <row r="340" spans="1:76" ht="23" x14ac:dyDescent="0.35">
      <c r="A340" s="1" t="s">
        <v>1088</v>
      </c>
      <c r="B340" s="2" t="s">
        <v>1089</v>
      </c>
      <c r="C340" s="91" t="s">
        <v>1090</v>
      </c>
      <c r="D340" s="88"/>
      <c r="E340" s="2" t="s">
        <v>434</v>
      </c>
      <c r="F340" s="53">
        <v>22</v>
      </c>
      <c r="G340" s="77">
        <v>0</v>
      </c>
      <c r="H340" s="53">
        <f t="shared" si="404"/>
        <v>0</v>
      </c>
      <c r="I340" s="79" t="s">
        <v>1688</v>
      </c>
      <c r="J340" s="49"/>
      <c r="Z340" s="53">
        <f t="shared" si="405"/>
        <v>0</v>
      </c>
      <c r="AB340" s="53">
        <f t="shared" si="406"/>
        <v>0</v>
      </c>
      <c r="AC340" s="53">
        <f t="shared" si="407"/>
        <v>0</v>
      </c>
      <c r="AD340" s="53">
        <f t="shared" si="408"/>
        <v>0</v>
      </c>
      <c r="AE340" s="53">
        <f t="shared" si="409"/>
        <v>0</v>
      </c>
      <c r="AF340" s="53">
        <f t="shared" si="410"/>
        <v>0</v>
      </c>
      <c r="AG340" s="53">
        <f t="shared" si="411"/>
        <v>0</v>
      </c>
      <c r="AH340" s="53">
        <f t="shared" si="412"/>
        <v>0</v>
      </c>
      <c r="AI340" s="36" t="s">
        <v>10</v>
      </c>
      <c r="AJ340" s="53">
        <f t="shared" si="413"/>
        <v>0</v>
      </c>
      <c r="AK340" s="53">
        <f t="shared" si="414"/>
        <v>0</v>
      </c>
      <c r="AL340" s="53">
        <f t="shared" si="415"/>
        <v>0</v>
      </c>
      <c r="AN340" s="53">
        <v>21</v>
      </c>
      <c r="AO340" s="53">
        <f>G340*0.708737879</f>
        <v>0</v>
      </c>
      <c r="AP340" s="53">
        <f>G340*(1-0.708737879)</f>
        <v>0</v>
      </c>
      <c r="AQ340" s="54" t="s">
        <v>118</v>
      </c>
      <c r="AV340" s="53">
        <f t="shared" si="416"/>
        <v>0</v>
      </c>
      <c r="AW340" s="53">
        <f t="shared" si="417"/>
        <v>0</v>
      </c>
      <c r="AX340" s="53">
        <f t="shared" si="418"/>
        <v>0</v>
      </c>
      <c r="AY340" s="54" t="s">
        <v>1078</v>
      </c>
      <c r="AZ340" s="54" t="s">
        <v>983</v>
      </c>
      <c r="BA340" s="36" t="s">
        <v>116</v>
      </c>
      <c r="BC340" s="53">
        <f t="shared" si="419"/>
        <v>0</v>
      </c>
      <c r="BD340" s="53">
        <f t="shared" si="420"/>
        <v>0</v>
      </c>
      <c r="BE340" s="53">
        <v>0</v>
      </c>
      <c r="BF340" s="53">
        <f>340</f>
        <v>340</v>
      </c>
      <c r="BH340" s="53">
        <f t="shared" si="421"/>
        <v>0</v>
      </c>
      <c r="BI340" s="53">
        <f t="shared" si="422"/>
        <v>0</v>
      </c>
      <c r="BJ340" s="53">
        <f t="shared" si="423"/>
        <v>0</v>
      </c>
      <c r="BK340" s="54" t="s">
        <v>117</v>
      </c>
      <c r="BL340" s="53"/>
      <c r="BW340" s="53">
        <v>21</v>
      </c>
      <c r="BX340" s="3" t="s">
        <v>1090</v>
      </c>
    </row>
    <row r="341" spans="1:76" ht="23" x14ac:dyDescent="0.35">
      <c r="A341" s="1" t="s">
        <v>1091</v>
      </c>
      <c r="B341" s="2" t="s">
        <v>1092</v>
      </c>
      <c r="C341" s="91" t="s">
        <v>1093</v>
      </c>
      <c r="D341" s="88"/>
      <c r="E341" s="2" t="s">
        <v>434</v>
      </c>
      <c r="F341" s="53">
        <v>9</v>
      </c>
      <c r="G341" s="77">
        <v>0</v>
      </c>
      <c r="H341" s="53">
        <f t="shared" si="404"/>
        <v>0</v>
      </c>
      <c r="I341" s="79" t="s">
        <v>1688</v>
      </c>
      <c r="J341" s="49"/>
      <c r="Z341" s="53">
        <f t="shared" si="405"/>
        <v>0</v>
      </c>
      <c r="AB341" s="53">
        <f t="shared" si="406"/>
        <v>0</v>
      </c>
      <c r="AC341" s="53">
        <f t="shared" si="407"/>
        <v>0</v>
      </c>
      <c r="AD341" s="53">
        <f t="shared" si="408"/>
        <v>0</v>
      </c>
      <c r="AE341" s="53">
        <f t="shared" si="409"/>
        <v>0</v>
      </c>
      <c r="AF341" s="53">
        <f t="shared" si="410"/>
        <v>0</v>
      </c>
      <c r="AG341" s="53">
        <f t="shared" si="411"/>
        <v>0</v>
      </c>
      <c r="AH341" s="53">
        <f t="shared" si="412"/>
        <v>0</v>
      </c>
      <c r="AI341" s="36" t="s">
        <v>10</v>
      </c>
      <c r="AJ341" s="53">
        <f t="shared" si="413"/>
        <v>0</v>
      </c>
      <c r="AK341" s="53">
        <f t="shared" si="414"/>
        <v>0</v>
      </c>
      <c r="AL341" s="53">
        <f t="shared" si="415"/>
        <v>0</v>
      </c>
      <c r="AN341" s="53">
        <v>21</v>
      </c>
      <c r="AO341" s="53">
        <f>G341*0.705432984</f>
        <v>0</v>
      </c>
      <c r="AP341" s="53">
        <f>G341*(1-0.705432984)</f>
        <v>0</v>
      </c>
      <c r="AQ341" s="54" t="s">
        <v>118</v>
      </c>
      <c r="AV341" s="53">
        <f t="shared" si="416"/>
        <v>0</v>
      </c>
      <c r="AW341" s="53">
        <f t="shared" si="417"/>
        <v>0</v>
      </c>
      <c r="AX341" s="53">
        <f t="shared" si="418"/>
        <v>0</v>
      </c>
      <c r="AY341" s="54" t="s">
        <v>1078</v>
      </c>
      <c r="AZ341" s="54" t="s">
        <v>983</v>
      </c>
      <c r="BA341" s="36" t="s">
        <v>116</v>
      </c>
      <c r="BC341" s="53">
        <f t="shared" si="419"/>
        <v>0</v>
      </c>
      <c r="BD341" s="53">
        <f t="shared" si="420"/>
        <v>0</v>
      </c>
      <c r="BE341" s="53">
        <v>0</v>
      </c>
      <c r="BF341" s="53">
        <f>341</f>
        <v>341</v>
      </c>
      <c r="BH341" s="53">
        <f t="shared" si="421"/>
        <v>0</v>
      </c>
      <c r="BI341" s="53">
        <f t="shared" si="422"/>
        <v>0</v>
      </c>
      <c r="BJ341" s="53">
        <f t="shared" si="423"/>
        <v>0</v>
      </c>
      <c r="BK341" s="54" t="s">
        <v>117</v>
      </c>
      <c r="BL341" s="53"/>
      <c r="BW341" s="53">
        <v>21</v>
      </c>
      <c r="BX341" s="3" t="s">
        <v>1093</v>
      </c>
    </row>
    <row r="342" spans="1:76" ht="23" x14ac:dyDescent="0.35">
      <c r="A342" s="1" t="s">
        <v>1094</v>
      </c>
      <c r="B342" s="2" t="s">
        <v>1095</v>
      </c>
      <c r="C342" s="91" t="s">
        <v>1096</v>
      </c>
      <c r="D342" s="88"/>
      <c r="E342" s="2" t="s">
        <v>434</v>
      </c>
      <c r="F342" s="53">
        <v>4</v>
      </c>
      <c r="G342" s="77">
        <v>0</v>
      </c>
      <c r="H342" s="53">
        <f t="shared" si="404"/>
        <v>0</v>
      </c>
      <c r="I342" s="79" t="s">
        <v>1688</v>
      </c>
      <c r="J342" s="49"/>
      <c r="Z342" s="53">
        <f t="shared" si="405"/>
        <v>0</v>
      </c>
      <c r="AB342" s="53">
        <f t="shared" si="406"/>
        <v>0</v>
      </c>
      <c r="AC342" s="53">
        <f t="shared" si="407"/>
        <v>0</v>
      </c>
      <c r="AD342" s="53">
        <f t="shared" si="408"/>
        <v>0</v>
      </c>
      <c r="AE342" s="53">
        <f t="shared" si="409"/>
        <v>0</v>
      </c>
      <c r="AF342" s="53">
        <f t="shared" si="410"/>
        <v>0</v>
      </c>
      <c r="AG342" s="53">
        <f t="shared" si="411"/>
        <v>0</v>
      </c>
      <c r="AH342" s="53">
        <f t="shared" si="412"/>
        <v>0</v>
      </c>
      <c r="AI342" s="36" t="s">
        <v>10</v>
      </c>
      <c r="AJ342" s="53">
        <f t="shared" si="413"/>
        <v>0</v>
      </c>
      <c r="AK342" s="53">
        <f t="shared" si="414"/>
        <v>0</v>
      </c>
      <c r="AL342" s="53">
        <f t="shared" si="415"/>
        <v>0</v>
      </c>
      <c r="AN342" s="53">
        <v>21</v>
      </c>
      <c r="AO342" s="53">
        <f>G342*0.620830671</f>
        <v>0</v>
      </c>
      <c r="AP342" s="53">
        <f>G342*(1-0.620830671)</f>
        <v>0</v>
      </c>
      <c r="AQ342" s="54" t="s">
        <v>118</v>
      </c>
      <c r="AV342" s="53">
        <f t="shared" si="416"/>
        <v>0</v>
      </c>
      <c r="AW342" s="53">
        <f t="shared" si="417"/>
        <v>0</v>
      </c>
      <c r="AX342" s="53">
        <f t="shared" si="418"/>
        <v>0</v>
      </c>
      <c r="AY342" s="54" t="s">
        <v>1078</v>
      </c>
      <c r="AZ342" s="54" t="s">
        <v>983</v>
      </c>
      <c r="BA342" s="36" t="s">
        <v>116</v>
      </c>
      <c r="BC342" s="53">
        <f t="shared" si="419"/>
        <v>0</v>
      </c>
      <c r="BD342" s="53">
        <f t="shared" si="420"/>
        <v>0</v>
      </c>
      <c r="BE342" s="53">
        <v>0</v>
      </c>
      <c r="BF342" s="53">
        <f>342</f>
        <v>342</v>
      </c>
      <c r="BH342" s="53">
        <f t="shared" si="421"/>
        <v>0</v>
      </c>
      <c r="BI342" s="53">
        <f t="shared" si="422"/>
        <v>0</v>
      </c>
      <c r="BJ342" s="53">
        <f t="shared" si="423"/>
        <v>0</v>
      </c>
      <c r="BK342" s="54" t="s">
        <v>117</v>
      </c>
      <c r="BL342" s="53"/>
      <c r="BW342" s="53">
        <v>21</v>
      </c>
      <c r="BX342" s="3" t="s">
        <v>1096</v>
      </c>
    </row>
    <row r="343" spans="1:76" ht="23" x14ac:dyDescent="0.35">
      <c r="A343" s="1" t="s">
        <v>1097</v>
      </c>
      <c r="B343" s="2" t="s">
        <v>1098</v>
      </c>
      <c r="C343" s="91" t="s">
        <v>1099</v>
      </c>
      <c r="D343" s="88"/>
      <c r="E343" s="2" t="s">
        <v>434</v>
      </c>
      <c r="F343" s="53">
        <v>10</v>
      </c>
      <c r="G343" s="77">
        <v>0</v>
      </c>
      <c r="H343" s="53">
        <f t="shared" si="404"/>
        <v>0</v>
      </c>
      <c r="I343" s="79" t="s">
        <v>1688</v>
      </c>
      <c r="J343" s="49"/>
      <c r="Z343" s="53">
        <f t="shared" si="405"/>
        <v>0</v>
      </c>
      <c r="AB343" s="53">
        <f t="shared" si="406"/>
        <v>0</v>
      </c>
      <c r="AC343" s="53">
        <f t="shared" si="407"/>
        <v>0</v>
      </c>
      <c r="AD343" s="53">
        <f t="shared" si="408"/>
        <v>0</v>
      </c>
      <c r="AE343" s="53">
        <f t="shared" si="409"/>
        <v>0</v>
      </c>
      <c r="AF343" s="53">
        <f t="shared" si="410"/>
        <v>0</v>
      </c>
      <c r="AG343" s="53">
        <f t="shared" si="411"/>
        <v>0</v>
      </c>
      <c r="AH343" s="53">
        <f t="shared" si="412"/>
        <v>0</v>
      </c>
      <c r="AI343" s="36" t="s">
        <v>10</v>
      </c>
      <c r="AJ343" s="53">
        <f t="shared" si="413"/>
        <v>0</v>
      </c>
      <c r="AK343" s="53">
        <f t="shared" si="414"/>
        <v>0</v>
      </c>
      <c r="AL343" s="53">
        <f t="shared" si="415"/>
        <v>0</v>
      </c>
      <c r="AN343" s="53">
        <v>21</v>
      </c>
      <c r="AO343" s="53">
        <f>G343*0.683774758</f>
        <v>0</v>
      </c>
      <c r="AP343" s="53">
        <f>G343*(1-0.683774758)</f>
        <v>0</v>
      </c>
      <c r="AQ343" s="54" t="s">
        <v>118</v>
      </c>
      <c r="AV343" s="53">
        <f t="shared" si="416"/>
        <v>0</v>
      </c>
      <c r="AW343" s="53">
        <f t="shared" si="417"/>
        <v>0</v>
      </c>
      <c r="AX343" s="53">
        <f t="shared" si="418"/>
        <v>0</v>
      </c>
      <c r="AY343" s="54" t="s">
        <v>1078</v>
      </c>
      <c r="AZ343" s="54" t="s">
        <v>983</v>
      </c>
      <c r="BA343" s="36" t="s">
        <v>116</v>
      </c>
      <c r="BC343" s="53">
        <f t="shared" si="419"/>
        <v>0</v>
      </c>
      <c r="BD343" s="53">
        <f t="shared" si="420"/>
        <v>0</v>
      </c>
      <c r="BE343" s="53">
        <v>0</v>
      </c>
      <c r="BF343" s="53">
        <f>343</f>
        <v>343</v>
      </c>
      <c r="BH343" s="53">
        <f t="shared" si="421"/>
        <v>0</v>
      </c>
      <c r="BI343" s="53">
        <f t="shared" si="422"/>
        <v>0</v>
      </c>
      <c r="BJ343" s="53">
        <f t="shared" si="423"/>
        <v>0</v>
      </c>
      <c r="BK343" s="54" t="s">
        <v>117</v>
      </c>
      <c r="BL343" s="53"/>
      <c r="BW343" s="53">
        <v>21</v>
      </c>
      <c r="BX343" s="3" t="s">
        <v>1099</v>
      </c>
    </row>
    <row r="344" spans="1:76" ht="23" x14ac:dyDescent="0.35">
      <c r="A344" s="1" t="s">
        <v>1100</v>
      </c>
      <c r="B344" s="2" t="s">
        <v>1101</v>
      </c>
      <c r="C344" s="91" t="s">
        <v>1102</v>
      </c>
      <c r="D344" s="88"/>
      <c r="E344" s="2" t="s">
        <v>434</v>
      </c>
      <c r="F344" s="53">
        <v>5</v>
      </c>
      <c r="G344" s="77">
        <v>0</v>
      </c>
      <c r="H344" s="53">
        <f t="shared" si="404"/>
        <v>0</v>
      </c>
      <c r="I344" s="79" t="s">
        <v>1688</v>
      </c>
      <c r="J344" s="49"/>
      <c r="Z344" s="53">
        <f t="shared" si="405"/>
        <v>0</v>
      </c>
      <c r="AB344" s="53">
        <f t="shared" si="406"/>
        <v>0</v>
      </c>
      <c r="AC344" s="53">
        <f t="shared" si="407"/>
        <v>0</v>
      </c>
      <c r="AD344" s="53">
        <f t="shared" si="408"/>
        <v>0</v>
      </c>
      <c r="AE344" s="53">
        <f t="shared" si="409"/>
        <v>0</v>
      </c>
      <c r="AF344" s="53">
        <f t="shared" si="410"/>
        <v>0</v>
      </c>
      <c r="AG344" s="53">
        <f t="shared" si="411"/>
        <v>0</v>
      </c>
      <c r="AH344" s="53">
        <f t="shared" si="412"/>
        <v>0</v>
      </c>
      <c r="AI344" s="36" t="s">
        <v>10</v>
      </c>
      <c r="AJ344" s="53">
        <f t="shared" si="413"/>
        <v>0</v>
      </c>
      <c r="AK344" s="53">
        <f t="shared" si="414"/>
        <v>0</v>
      </c>
      <c r="AL344" s="53">
        <f t="shared" si="415"/>
        <v>0</v>
      </c>
      <c r="AN344" s="53">
        <v>21</v>
      </c>
      <c r="AO344" s="53">
        <f>G344*0.876557081</f>
        <v>0</v>
      </c>
      <c r="AP344" s="53">
        <f>G344*(1-0.876557081)</f>
        <v>0</v>
      </c>
      <c r="AQ344" s="54" t="s">
        <v>118</v>
      </c>
      <c r="AV344" s="53">
        <f t="shared" si="416"/>
        <v>0</v>
      </c>
      <c r="AW344" s="53">
        <f t="shared" si="417"/>
        <v>0</v>
      </c>
      <c r="AX344" s="53">
        <f t="shared" si="418"/>
        <v>0</v>
      </c>
      <c r="AY344" s="54" t="s">
        <v>1078</v>
      </c>
      <c r="AZ344" s="54" t="s">
        <v>983</v>
      </c>
      <c r="BA344" s="36" t="s">
        <v>116</v>
      </c>
      <c r="BC344" s="53">
        <f t="shared" si="419"/>
        <v>0</v>
      </c>
      <c r="BD344" s="53">
        <f t="shared" si="420"/>
        <v>0</v>
      </c>
      <c r="BE344" s="53">
        <v>0</v>
      </c>
      <c r="BF344" s="53">
        <f>344</f>
        <v>344</v>
      </c>
      <c r="BH344" s="53">
        <f t="shared" si="421"/>
        <v>0</v>
      </c>
      <c r="BI344" s="53">
        <f t="shared" si="422"/>
        <v>0</v>
      </c>
      <c r="BJ344" s="53">
        <f t="shared" si="423"/>
        <v>0</v>
      </c>
      <c r="BK344" s="54" t="s">
        <v>117</v>
      </c>
      <c r="BL344" s="53"/>
      <c r="BW344" s="53">
        <v>21</v>
      </c>
      <c r="BX344" s="3" t="s">
        <v>1102</v>
      </c>
    </row>
    <row r="345" spans="1:76" ht="23" x14ac:dyDescent="0.35">
      <c r="A345" s="1" t="s">
        <v>1103</v>
      </c>
      <c r="B345" s="2" t="s">
        <v>1104</v>
      </c>
      <c r="C345" s="91" t="s">
        <v>1105</v>
      </c>
      <c r="D345" s="88"/>
      <c r="E345" s="2" t="s">
        <v>434</v>
      </c>
      <c r="F345" s="53">
        <v>5</v>
      </c>
      <c r="G345" s="77">
        <v>0</v>
      </c>
      <c r="H345" s="53">
        <f t="shared" si="404"/>
        <v>0</v>
      </c>
      <c r="I345" s="79" t="s">
        <v>1688</v>
      </c>
      <c r="J345" s="49"/>
      <c r="Z345" s="53">
        <f t="shared" si="405"/>
        <v>0</v>
      </c>
      <c r="AB345" s="53">
        <f t="shared" si="406"/>
        <v>0</v>
      </c>
      <c r="AC345" s="53">
        <f t="shared" si="407"/>
        <v>0</v>
      </c>
      <c r="AD345" s="53">
        <f t="shared" si="408"/>
        <v>0</v>
      </c>
      <c r="AE345" s="53">
        <f t="shared" si="409"/>
        <v>0</v>
      </c>
      <c r="AF345" s="53">
        <f t="shared" si="410"/>
        <v>0</v>
      </c>
      <c r="AG345" s="53">
        <f t="shared" si="411"/>
        <v>0</v>
      </c>
      <c r="AH345" s="53">
        <f t="shared" si="412"/>
        <v>0</v>
      </c>
      <c r="AI345" s="36" t="s">
        <v>10</v>
      </c>
      <c r="AJ345" s="53">
        <f t="shared" si="413"/>
        <v>0</v>
      </c>
      <c r="AK345" s="53">
        <f t="shared" si="414"/>
        <v>0</v>
      </c>
      <c r="AL345" s="53">
        <f t="shared" si="415"/>
        <v>0</v>
      </c>
      <c r="AN345" s="53">
        <v>21</v>
      </c>
      <c r="AO345" s="53">
        <f>G345*0.820717164</f>
        <v>0</v>
      </c>
      <c r="AP345" s="53">
        <f>G345*(1-0.820717164)</f>
        <v>0</v>
      </c>
      <c r="AQ345" s="54" t="s">
        <v>118</v>
      </c>
      <c r="AV345" s="53">
        <f t="shared" si="416"/>
        <v>0</v>
      </c>
      <c r="AW345" s="53">
        <f t="shared" si="417"/>
        <v>0</v>
      </c>
      <c r="AX345" s="53">
        <f t="shared" si="418"/>
        <v>0</v>
      </c>
      <c r="AY345" s="54" t="s">
        <v>1078</v>
      </c>
      <c r="AZ345" s="54" t="s">
        <v>983</v>
      </c>
      <c r="BA345" s="36" t="s">
        <v>116</v>
      </c>
      <c r="BC345" s="53">
        <f t="shared" si="419"/>
        <v>0</v>
      </c>
      <c r="BD345" s="53">
        <f t="shared" si="420"/>
        <v>0</v>
      </c>
      <c r="BE345" s="53">
        <v>0</v>
      </c>
      <c r="BF345" s="53">
        <f>345</f>
        <v>345</v>
      </c>
      <c r="BH345" s="53">
        <f t="shared" si="421"/>
        <v>0</v>
      </c>
      <c r="BI345" s="53">
        <f t="shared" si="422"/>
        <v>0</v>
      </c>
      <c r="BJ345" s="53">
        <f t="shared" si="423"/>
        <v>0</v>
      </c>
      <c r="BK345" s="54" t="s">
        <v>117</v>
      </c>
      <c r="BL345" s="53"/>
      <c r="BW345" s="53">
        <v>21</v>
      </c>
      <c r="BX345" s="3" t="s">
        <v>1105</v>
      </c>
    </row>
    <row r="346" spans="1:76" ht="23" x14ac:dyDescent="0.35">
      <c r="A346" s="1" t="s">
        <v>1106</v>
      </c>
      <c r="B346" s="2" t="s">
        <v>1107</v>
      </c>
      <c r="C346" s="91" t="s">
        <v>1108</v>
      </c>
      <c r="D346" s="88"/>
      <c r="E346" s="2" t="s">
        <v>434</v>
      </c>
      <c r="F346" s="53">
        <v>5</v>
      </c>
      <c r="G346" s="77">
        <v>0</v>
      </c>
      <c r="H346" s="53">
        <f t="shared" si="404"/>
        <v>0</v>
      </c>
      <c r="I346" s="79" t="s">
        <v>1688</v>
      </c>
      <c r="J346" s="49"/>
      <c r="Z346" s="53">
        <f t="shared" si="405"/>
        <v>0</v>
      </c>
      <c r="AB346" s="53">
        <f t="shared" si="406"/>
        <v>0</v>
      </c>
      <c r="AC346" s="53">
        <f t="shared" si="407"/>
        <v>0</v>
      </c>
      <c r="AD346" s="53">
        <f t="shared" si="408"/>
        <v>0</v>
      </c>
      <c r="AE346" s="53">
        <f t="shared" si="409"/>
        <v>0</v>
      </c>
      <c r="AF346" s="53">
        <f t="shared" si="410"/>
        <v>0</v>
      </c>
      <c r="AG346" s="53">
        <f t="shared" si="411"/>
        <v>0</v>
      </c>
      <c r="AH346" s="53">
        <f t="shared" si="412"/>
        <v>0</v>
      </c>
      <c r="AI346" s="36" t="s">
        <v>10</v>
      </c>
      <c r="AJ346" s="53">
        <f t="shared" si="413"/>
        <v>0</v>
      </c>
      <c r="AK346" s="53">
        <f t="shared" si="414"/>
        <v>0</v>
      </c>
      <c r="AL346" s="53">
        <f t="shared" si="415"/>
        <v>0</v>
      </c>
      <c r="AN346" s="53">
        <v>21</v>
      </c>
      <c r="AO346" s="53">
        <f>G346*0.671088523</f>
        <v>0</v>
      </c>
      <c r="AP346" s="53">
        <f>G346*(1-0.671088523)</f>
        <v>0</v>
      </c>
      <c r="AQ346" s="54" t="s">
        <v>118</v>
      </c>
      <c r="AV346" s="53">
        <f t="shared" si="416"/>
        <v>0</v>
      </c>
      <c r="AW346" s="53">
        <f t="shared" si="417"/>
        <v>0</v>
      </c>
      <c r="AX346" s="53">
        <f t="shared" si="418"/>
        <v>0</v>
      </c>
      <c r="AY346" s="54" t="s">
        <v>1078</v>
      </c>
      <c r="AZ346" s="54" t="s">
        <v>983</v>
      </c>
      <c r="BA346" s="36" t="s">
        <v>116</v>
      </c>
      <c r="BC346" s="53">
        <f t="shared" si="419"/>
        <v>0</v>
      </c>
      <c r="BD346" s="53">
        <f t="shared" si="420"/>
        <v>0</v>
      </c>
      <c r="BE346" s="53">
        <v>0</v>
      </c>
      <c r="BF346" s="53">
        <f>346</f>
        <v>346</v>
      </c>
      <c r="BH346" s="53">
        <f t="shared" si="421"/>
        <v>0</v>
      </c>
      <c r="BI346" s="53">
        <f t="shared" si="422"/>
        <v>0</v>
      </c>
      <c r="BJ346" s="53">
        <f t="shared" si="423"/>
        <v>0</v>
      </c>
      <c r="BK346" s="54" t="s">
        <v>117</v>
      </c>
      <c r="BL346" s="53"/>
      <c r="BW346" s="53">
        <v>21</v>
      </c>
      <c r="BX346" s="3" t="s">
        <v>1108</v>
      </c>
    </row>
    <row r="347" spans="1:76" ht="23" x14ac:dyDescent="0.35">
      <c r="A347" s="1" t="s">
        <v>1109</v>
      </c>
      <c r="B347" s="2" t="s">
        <v>1110</v>
      </c>
      <c r="C347" s="91" t="s">
        <v>1111</v>
      </c>
      <c r="D347" s="88"/>
      <c r="E347" s="2" t="s">
        <v>434</v>
      </c>
      <c r="F347" s="53">
        <v>32</v>
      </c>
      <c r="G347" s="77">
        <v>0</v>
      </c>
      <c r="H347" s="53">
        <f t="shared" si="404"/>
        <v>0</v>
      </c>
      <c r="I347" s="79" t="s">
        <v>1688</v>
      </c>
      <c r="J347" s="49"/>
      <c r="Z347" s="53">
        <f t="shared" si="405"/>
        <v>0</v>
      </c>
      <c r="AB347" s="53">
        <f t="shared" si="406"/>
        <v>0</v>
      </c>
      <c r="AC347" s="53">
        <f t="shared" si="407"/>
        <v>0</v>
      </c>
      <c r="AD347" s="53">
        <f t="shared" si="408"/>
        <v>0</v>
      </c>
      <c r="AE347" s="53">
        <f t="shared" si="409"/>
        <v>0</v>
      </c>
      <c r="AF347" s="53">
        <f t="shared" si="410"/>
        <v>0</v>
      </c>
      <c r="AG347" s="53">
        <f t="shared" si="411"/>
        <v>0</v>
      </c>
      <c r="AH347" s="53">
        <f t="shared" si="412"/>
        <v>0</v>
      </c>
      <c r="AI347" s="36" t="s">
        <v>10</v>
      </c>
      <c r="AJ347" s="53">
        <f t="shared" si="413"/>
        <v>0</v>
      </c>
      <c r="AK347" s="53">
        <f t="shared" si="414"/>
        <v>0</v>
      </c>
      <c r="AL347" s="53">
        <f t="shared" si="415"/>
        <v>0</v>
      </c>
      <c r="AN347" s="53">
        <v>21</v>
      </c>
      <c r="AO347" s="53">
        <f>G347*0.722219838</f>
        <v>0</v>
      </c>
      <c r="AP347" s="53">
        <f>G347*(1-0.722219838)</f>
        <v>0</v>
      </c>
      <c r="AQ347" s="54" t="s">
        <v>118</v>
      </c>
      <c r="AV347" s="53">
        <f t="shared" si="416"/>
        <v>0</v>
      </c>
      <c r="AW347" s="53">
        <f t="shared" si="417"/>
        <v>0</v>
      </c>
      <c r="AX347" s="53">
        <f t="shared" si="418"/>
        <v>0</v>
      </c>
      <c r="AY347" s="54" t="s">
        <v>1078</v>
      </c>
      <c r="AZ347" s="54" t="s">
        <v>983</v>
      </c>
      <c r="BA347" s="36" t="s">
        <v>116</v>
      </c>
      <c r="BC347" s="53">
        <f t="shared" si="419"/>
        <v>0</v>
      </c>
      <c r="BD347" s="53">
        <f t="shared" si="420"/>
        <v>0</v>
      </c>
      <c r="BE347" s="53">
        <v>0</v>
      </c>
      <c r="BF347" s="53">
        <f>347</f>
        <v>347</v>
      </c>
      <c r="BH347" s="53">
        <f t="shared" si="421"/>
        <v>0</v>
      </c>
      <c r="BI347" s="53">
        <f t="shared" si="422"/>
        <v>0</v>
      </c>
      <c r="BJ347" s="53">
        <f t="shared" si="423"/>
        <v>0</v>
      </c>
      <c r="BK347" s="54" t="s">
        <v>117</v>
      </c>
      <c r="BL347" s="53"/>
      <c r="BW347" s="53">
        <v>21</v>
      </c>
      <c r="BX347" s="3" t="s">
        <v>1111</v>
      </c>
    </row>
    <row r="348" spans="1:76" ht="23" x14ac:dyDescent="0.35">
      <c r="A348" s="1" t="s">
        <v>1112</v>
      </c>
      <c r="B348" s="2" t="s">
        <v>1113</v>
      </c>
      <c r="C348" s="91" t="s">
        <v>1114</v>
      </c>
      <c r="D348" s="88"/>
      <c r="E348" s="2" t="s">
        <v>434</v>
      </c>
      <c r="F348" s="53">
        <v>2</v>
      </c>
      <c r="G348" s="77">
        <v>0</v>
      </c>
      <c r="H348" s="53">
        <f t="shared" si="404"/>
        <v>0</v>
      </c>
      <c r="I348" s="79" t="s">
        <v>1688</v>
      </c>
      <c r="J348" s="49"/>
      <c r="Z348" s="53">
        <f t="shared" si="405"/>
        <v>0</v>
      </c>
      <c r="AB348" s="53">
        <f t="shared" si="406"/>
        <v>0</v>
      </c>
      <c r="AC348" s="53">
        <f t="shared" si="407"/>
        <v>0</v>
      </c>
      <c r="AD348" s="53">
        <f t="shared" si="408"/>
        <v>0</v>
      </c>
      <c r="AE348" s="53">
        <f t="shared" si="409"/>
        <v>0</v>
      </c>
      <c r="AF348" s="53">
        <f t="shared" si="410"/>
        <v>0</v>
      </c>
      <c r="AG348" s="53">
        <f t="shared" si="411"/>
        <v>0</v>
      </c>
      <c r="AH348" s="53">
        <f t="shared" si="412"/>
        <v>0</v>
      </c>
      <c r="AI348" s="36" t="s">
        <v>10</v>
      </c>
      <c r="AJ348" s="53">
        <f t="shared" si="413"/>
        <v>0</v>
      </c>
      <c r="AK348" s="53">
        <f t="shared" si="414"/>
        <v>0</v>
      </c>
      <c r="AL348" s="53">
        <f t="shared" si="415"/>
        <v>0</v>
      </c>
      <c r="AN348" s="53">
        <v>21</v>
      </c>
      <c r="AO348" s="53">
        <f>G348*0.643393574</f>
        <v>0</v>
      </c>
      <c r="AP348" s="53">
        <f>G348*(1-0.643393574)</f>
        <v>0</v>
      </c>
      <c r="AQ348" s="54" t="s">
        <v>118</v>
      </c>
      <c r="AV348" s="53">
        <f t="shared" si="416"/>
        <v>0</v>
      </c>
      <c r="AW348" s="53">
        <f t="shared" si="417"/>
        <v>0</v>
      </c>
      <c r="AX348" s="53">
        <f t="shared" si="418"/>
        <v>0</v>
      </c>
      <c r="AY348" s="54" t="s">
        <v>1078</v>
      </c>
      <c r="AZ348" s="54" t="s">
        <v>983</v>
      </c>
      <c r="BA348" s="36" t="s">
        <v>116</v>
      </c>
      <c r="BC348" s="53">
        <f t="shared" si="419"/>
        <v>0</v>
      </c>
      <c r="BD348" s="53">
        <f t="shared" si="420"/>
        <v>0</v>
      </c>
      <c r="BE348" s="53">
        <v>0</v>
      </c>
      <c r="BF348" s="53">
        <f>348</f>
        <v>348</v>
      </c>
      <c r="BH348" s="53">
        <f t="shared" si="421"/>
        <v>0</v>
      </c>
      <c r="BI348" s="53">
        <f t="shared" si="422"/>
        <v>0</v>
      </c>
      <c r="BJ348" s="53">
        <f t="shared" si="423"/>
        <v>0</v>
      </c>
      <c r="BK348" s="54" t="s">
        <v>117</v>
      </c>
      <c r="BL348" s="53"/>
      <c r="BW348" s="53">
        <v>21</v>
      </c>
      <c r="BX348" s="3" t="s">
        <v>1114</v>
      </c>
    </row>
    <row r="349" spans="1:76" ht="23" x14ac:dyDescent="0.35">
      <c r="A349" s="1" t="s">
        <v>1115</v>
      </c>
      <c r="B349" s="2" t="s">
        <v>1116</v>
      </c>
      <c r="C349" s="91" t="s">
        <v>1117</v>
      </c>
      <c r="D349" s="88"/>
      <c r="E349" s="2" t="s">
        <v>10</v>
      </c>
      <c r="F349" s="53">
        <v>22</v>
      </c>
      <c r="G349" s="77">
        <v>0</v>
      </c>
      <c r="H349" s="53">
        <f t="shared" si="404"/>
        <v>0</v>
      </c>
      <c r="I349" s="79" t="s">
        <v>1688</v>
      </c>
      <c r="J349" s="49"/>
      <c r="Z349" s="53">
        <f t="shared" si="405"/>
        <v>0</v>
      </c>
      <c r="AB349" s="53">
        <f t="shared" si="406"/>
        <v>0</v>
      </c>
      <c r="AC349" s="53">
        <f t="shared" si="407"/>
        <v>0</v>
      </c>
      <c r="AD349" s="53">
        <f t="shared" si="408"/>
        <v>0</v>
      </c>
      <c r="AE349" s="53">
        <f t="shared" si="409"/>
        <v>0</v>
      </c>
      <c r="AF349" s="53">
        <f t="shared" si="410"/>
        <v>0</v>
      </c>
      <c r="AG349" s="53">
        <f t="shared" si="411"/>
        <v>0</v>
      </c>
      <c r="AH349" s="53">
        <f t="shared" si="412"/>
        <v>0</v>
      </c>
      <c r="AI349" s="36" t="s">
        <v>10</v>
      </c>
      <c r="AJ349" s="53">
        <f t="shared" si="413"/>
        <v>0</v>
      </c>
      <c r="AK349" s="53">
        <f t="shared" si="414"/>
        <v>0</v>
      </c>
      <c r="AL349" s="53">
        <f t="shared" si="415"/>
        <v>0</v>
      </c>
      <c r="AN349" s="53">
        <v>21</v>
      </c>
      <c r="AO349" s="53">
        <f>G349*0.717977999</f>
        <v>0</v>
      </c>
      <c r="AP349" s="53">
        <f>G349*(1-0.717977999)</f>
        <v>0</v>
      </c>
      <c r="AQ349" s="54" t="s">
        <v>118</v>
      </c>
      <c r="AV349" s="53">
        <f t="shared" si="416"/>
        <v>0</v>
      </c>
      <c r="AW349" s="53">
        <f t="shared" si="417"/>
        <v>0</v>
      </c>
      <c r="AX349" s="53">
        <f t="shared" si="418"/>
        <v>0</v>
      </c>
      <c r="AY349" s="54" t="s">
        <v>1078</v>
      </c>
      <c r="AZ349" s="54" t="s">
        <v>983</v>
      </c>
      <c r="BA349" s="36" t="s">
        <v>116</v>
      </c>
      <c r="BC349" s="53">
        <f t="shared" si="419"/>
        <v>0</v>
      </c>
      <c r="BD349" s="53">
        <f t="shared" si="420"/>
        <v>0</v>
      </c>
      <c r="BE349" s="53">
        <v>0</v>
      </c>
      <c r="BF349" s="53">
        <f>349</f>
        <v>349</v>
      </c>
      <c r="BH349" s="53">
        <f t="shared" si="421"/>
        <v>0</v>
      </c>
      <c r="BI349" s="53">
        <f t="shared" si="422"/>
        <v>0</v>
      </c>
      <c r="BJ349" s="53">
        <f t="shared" si="423"/>
        <v>0</v>
      </c>
      <c r="BK349" s="54" t="s">
        <v>117</v>
      </c>
      <c r="BL349" s="53"/>
      <c r="BW349" s="53">
        <v>21</v>
      </c>
      <c r="BX349" s="3" t="s">
        <v>1117</v>
      </c>
    </row>
    <row r="350" spans="1:76" ht="23" x14ac:dyDescent="0.35">
      <c r="A350" s="1" t="s">
        <v>1118</v>
      </c>
      <c r="B350" s="2" t="s">
        <v>1119</v>
      </c>
      <c r="C350" s="91" t="s">
        <v>1120</v>
      </c>
      <c r="D350" s="88"/>
      <c r="E350" s="2" t="s">
        <v>434</v>
      </c>
      <c r="F350" s="53">
        <v>6</v>
      </c>
      <c r="G350" s="77">
        <v>0</v>
      </c>
      <c r="H350" s="53">
        <f t="shared" si="404"/>
        <v>0</v>
      </c>
      <c r="I350" s="79" t="s">
        <v>1688</v>
      </c>
      <c r="J350" s="49"/>
      <c r="Z350" s="53">
        <f t="shared" si="405"/>
        <v>0</v>
      </c>
      <c r="AB350" s="53">
        <f t="shared" si="406"/>
        <v>0</v>
      </c>
      <c r="AC350" s="53">
        <f t="shared" si="407"/>
        <v>0</v>
      </c>
      <c r="AD350" s="53">
        <f t="shared" si="408"/>
        <v>0</v>
      </c>
      <c r="AE350" s="53">
        <f t="shared" si="409"/>
        <v>0</v>
      </c>
      <c r="AF350" s="53">
        <f t="shared" si="410"/>
        <v>0</v>
      </c>
      <c r="AG350" s="53">
        <f t="shared" si="411"/>
        <v>0</v>
      </c>
      <c r="AH350" s="53">
        <f t="shared" si="412"/>
        <v>0</v>
      </c>
      <c r="AI350" s="36" t="s">
        <v>10</v>
      </c>
      <c r="AJ350" s="53">
        <f t="shared" si="413"/>
        <v>0</v>
      </c>
      <c r="AK350" s="53">
        <f t="shared" si="414"/>
        <v>0</v>
      </c>
      <c r="AL350" s="53">
        <f t="shared" si="415"/>
        <v>0</v>
      </c>
      <c r="AN350" s="53">
        <v>21</v>
      </c>
      <c r="AO350" s="53">
        <f>G350*0.661883986</f>
        <v>0</v>
      </c>
      <c r="AP350" s="53">
        <f>G350*(1-0.661883986)</f>
        <v>0</v>
      </c>
      <c r="AQ350" s="54" t="s">
        <v>118</v>
      </c>
      <c r="AV350" s="53">
        <f t="shared" si="416"/>
        <v>0</v>
      </c>
      <c r="AW350" s="53">
        <f t="shared" si="417"/>
        <v>0</v>
      </c>
      <c r="AX350" s="53">
        <f t="shared" si="418"/>
        <v>0</v>
      </c>
      <c r="AY350" s="54" t="s">
        <v>1078</v>
      </c>
      <c r="AZ350" s="54" t="s">
        <v>983</v>
      </c>
      <c r="BA350" s="36" t="s">
        <v>116</v>
      </c>
      <c r="BC350" s="53">
        <f t="shared" si="419"/>
        <v>0</v>
      </c>
      <c r="BD350" s="53">
        <f t="shared" si="420"/>
        <v>0</v>
      </c>
      <c r="BE350" s="53">
        <v>0</v>
      </c>
      <c r="BF350" s="53">
        <f>350</f>
        <v>350</v>
      </c>
      <c r="BH350" s="53">
        <f t="shared" si="421"/>
        <v>0</v>
      </c>
      <c r="BI350" s="53">
        <f t="shared" si="422"/>
        <v>0</v>
      </c>
      <c r="BJ350" s="53">
        <f t="shared" si="423"/>
        <v>0</v>
      </c>
      <c r="BK350" s="54" t="s">
        <v>117</v>
      </c>
      <c r="BL350" s="53"/>
      <c r="BW350" s="53">
        <v>21</v>
      </c>
      <c r="BX350" s="3" t="s">
        <v>1120</v>
      </c>
    </row>
    <row r="351" spans="1:76" ht="23" x14ac:dyDescent="0.35">
      <c r="A351" s="1" t="s">
        <v>1121</v>
      </c>
      <c r="B351" s="2" t="s">
        <v>1122</v>
      </c>
      <c r="C351" s="91" t="s">
        <v>1123</v>
      </c>
      <c r="D351" s="88"/>
      <c r="E351" s="2" t="s">
        <v>434</v>
      </c>
      <c r="F351" s="53">
        <v>7</v>
      </c>
      <c r="G351" s="77">
        <v>0</v>
      </c>
      <c r="H351" s="53">
        <f t="shared" si="404"/>
        <v>0</v>
      </c>
      <c r="I351" s="79" t="s">
        <v>1688</v>
      </c>
      <c r="J351" s="49"/>
      <c r="Z351" s="53">
        <f t="shared" si="405"/>
        <v>0</v>
      </c>
      <c r="AB351" s="53">
        <f t="shared" si="406"/>
        <v>0</v>
      </c>
      <c r="AC351" s="53">
        <f t="shared" si="407"/>
        <v>0</v>
      </c>
      <c r="AD351" s="53">
        <f t="shared" si="408"/>
        <v>0</v>
      </c>
      <c r="AE351" s="53">
        <f t="shared" si="409"/>
        <v>0</v>
      </c>
      <c r="AF351" s="53">
        <f t="shared" si="410"/>
        <v>0</v>
      </c>
      <c r="AG351" s="53">
        <f t="shared" si="411"/>
        <v>0</v>
      </c>
      <c r="AH351" s="53">
        <f t="shared" si="412"/>
        <v>0</v>
      </c>
      <c r="AI351" s="36" t="s">
        <v>10</v>
      </c>
      <c r="AJ351" s="53">
        <f t="shared" si="413"/>
        <v>0</v>
      </c>
      <c r="AK351" s="53">
        <f t="shared" si="414"/>
        <v>0</v>
      </c>
      <c r="AL351" s="53">
        <f t="shared" si="415"/>
        <v>0</v>
      </c>
      <c r="AN351" s="53">
        <v>21</v>
      </c>
      <c r="AO351" s="53">
        <f>G351*0.748700838</f>
        <v>0</v>
      </c>
      <c r="AP351" s="53">
        <f>G351*(1-0.748700838)</f>
        <v>0</v>
      </c>
      <c r="AQ351" s="54" t="s">
        <v>118</v>
      </c>
      <c r="AV351" s="53">
        <f t="shared" si="416"/>
        <v>0</v>
      </c>
      <c r="AW351" s="53">
        <f t="shared" si="417"/>
        <v>0</v>
      </c>
      <c r="AX351" s="53">
        <f t="shared" si="418"/>
        <v>0</v>
      </c>
      <c r="AY351" s="54" t="s">
        <v>1078</v>
      </c>
      <c r="AZ351" s="54" t="s">
        <v>983</v>
      </c>
      <c r="BA351" s="36" t="s">
        <v>116</v>
      </c>
      <c r="BC351" s="53">
        <f t="shared" si="419"/>
        <v>0</v>
      </c>
      <c r="BD351" s="53">
        <f t="shared" si="420"/>
        <v>0</v>
      </c>
      <c r="BE351" s="53">
        <v>0</v>
      </c>
      <c r="BF351" s="53">
        <f>351</f>
        <v>351</v>
      </c>
      <c r="BH351" s="53">
        <f t="shared" si="421"/>
        <v>0</v>
      </c>
      <c r="BI351" s="53">
        <f t="shared" si="422"/>
        <v>0</v>
      </c>
      <c r="BJ351" s="53">
        <f t="shared" si="423"/>
        <v>0</v>
      </c>
      <c r="BK351" s="54" t="s">
        <v>117</v>
      </c>
      <c r="BL351" s="53"/>
      <c r="BW351" s="53">
        <v>21</v>
      </c>
      <c r="BX351" s="3" t="s">
        <v>1123</v>
      </c>
    </row>
    <row r="352" spans="1:76" ht="23" x14ac:dyDescent="0.35">
      <c r="A352" s="1" t="s">
        <v>1124</v>
      </c>
      <c r="B352" s="2" t="s">
        <v>1125</v>
      </c>
      <c r="C352" s="91" t="s">
        <v>1126</v>
      </c>
      <c r="D352" s="88"/>
      <c r="E352" s="2" t="s">
        <v>434</v>
      </c>
      <c r="F352" s="53">
        <v>3</v>
      </c>
      <c r="G352" s="77">
        <v>0</v>
      </c>
      <c r="H352" s="53">
        <f t="shared" si="404"/>
        <v>0</v>
      </c>
      <c r="I352" s="79" t="s">
        <v>1688</v>
      </c>
      <c r="J352" s="49"/>
      <c r="Z352" s="53">
        <f t="shared" si="405"/>
        <v>0</v>
      </c>
      <c r="AB352" s="53">
        <f t="shared" si="406"/>
        <v>0</v>
      </c>
      <c r="AC352" s="53">
        <f t="shared" si="407"/>
        <v>0</v>
      </c>
      <c r="AD352" s="53">
        <f t="shared" si="408"/>
        <v>0</v>
      </c>
      <c r="AE352" s="53">
        <f t="shared" si="409"/>
        <v>0</v>
      </c>
      <c r="AF352" s="53">
        <f t="shared" si="410"/>
        <v>0</v>
      </c>
      <c r="AG352" s="53">
        <f t="shared" si="411"/>
        <v>0</v>
      </c>
      <c r="AH352" s="53">
        <f t="shared" si="412"/>
        <v>0</v>
      </c>
      <c r="AI352" s="36" t="s">
        <v>10</v>
      </c>
      <c r="AJ352" s="53">
        <f t="shared" si="413"/>
        <v>0</v>
      </c>
      <c r="AK352" s="53">
        <f t="shared" si="414"/>
        <v>0</v>
      </c>
      <c r="AL352" s="53">
        <f t="shared" si="415"/>
        <v>0</v>
      </c>
      <c r="AN352" s="53">
        <v>21</v>
      </c>
      <c r="AO352" s="53">
        <f>G352*0.845192937</f>
        <v>0</v>
      </c>
      <c r="AP352" s="53">
        <f>G352*(1-0.845192937)</f>
        <v>0</v>
      </c>
      <c r="AQ352" s="54" t="s">
        <v>118</v>
      </c>
      <c r="AV352" s="53">
        <f t="shared" si="416"/>
        <v>0</v>
      </c>
      <c r="AW352" s="53">
        <f t="shared" si="417"/>
        <v>0</v>
      </c>
      <c r="AX352" s="53">
        <f t="shared" si="418"/>
        <v>0</v>
      </c>
      <c r="AY352" s="54" t="s">
        <v>1078</v>
      </c>
      <c r="AZ352" s="54" t="s">
        <v>983</v>
      </c>
      <c r="BA352" s="36" t="s">
        <v>116</v>
      </c>
      <c r="BC352" s="53">
        <f t="shared" si="419"/>
        <v>0</v>
      </c>
      <c r="BD352" s="53">
        <f t="shared" si="420"/>
        <v>0</v>
      </c>
      <c r="BE352" s="53">
        <v>0</v>
      </c>
      <c r="BF352" s="53">
        <f>352</f>
        <v>352</v>
      </c>
      <c r="BH352" s="53">
        <f t="shared" si="421"/>
        <v>0</v>
      </c>
      <c r="BI352" s="53">
        <f t="shared" si="422"/>
        <v>0</v>
      </c>
      <c r="BJ352" s="53">
        <f t="shared" si="423"/>
        <v>0</v>
      </c>
      <c r="BK352" s="54" t="s">
        <v>117</v>
      </c>
      <c r="BL352" s="53"/>
      <c r="BW352" s="53">
        <v>21</v>
      </c>
      <c r="BX352" s="3" t="s">
        <v>1126</v>
      </c>
    </row>
    <row r="353" spans="1:76" ht="23" x14ac:dyDescent="0.35">
      <c r="A353" s="1" t="s">
        <v>1127</v>
      </c>
      <c r="B353" s="2" t="s">
        <v>1128</v>
      </c>
      <c r="C353" s="91" t="s">
        <v>1129</v>
      </c>
      <c r="D353" s="88"/>
      <c r="E353" s="2" t="s">
        <v>121</v>
      </c>
      <c r="F353" s="53">
        <v>2</v>
      </c>
      <c r="G353" s="77">
        <v>0</v>
      </c>
      <c r="H353" s="53">
        <f t="shared" si="404"/>
        <v>0</v>
      </c>
      <c r="I353" s="79" t="s">
        <v>1688</v>
      </c>
      <c r="J353" s="49"/>
      <c r="Z353" s="53">
        <f t="shared" si="405"/>
        <v>0</v>
      </c>
      <c r="AB353" s="53">
        <f t="shared" si="406"/>
        <v>0</v>
      </c>
      <c r="AC353" s="53">
        <f t="shared" si="407"/>
        <v>0</v>
      </c>
      <c r="AD353" s="53">
        <f t="shared" si="408"/>
        <v>0</v>
      </c>
      <c r="AE353" s="53">
        <f t="shared" si="409"/>
        <v>0</v>
      </c>
      <c r="AF353" s="53">
        <f t="shared" si="410"/>
        <v>0</v>
      </c>
      <c r="AG353" s="53">
        <f t="shared" si="411"/>
        <v>0</v>
      </c>
      <c r="AH353" s="53">
        <f t="shared" si="412"/>
        <v>0</v>
      </c>
      <c r="AI353" s="36" t="s">
        <v>10</v>
      </c>
      <c r="AJ353" s="53">
        <f t="shared" si="413"/>
        <v>0</v>
      </c>
      <c r="AK353" s="53">
        <f t="shared" si="414"/>
        <v>0</v>
      </c>
      <c r="AL353" s="53">
        <f t="shared" si="415"/>
        <v>0</v>
      </c>
      <c r="AN353" s="53">
        <v>21</v>
      </c>
      <c r="AO353" s="53">
        <f>G353*0.716332574</f>
        <v>0</v>
      </c>
      <c r="AP353" s="53">
        <f>G353*(1-0.716332574)</f>
        <v>0</v>
      </c>
      <c r="AQ353" s="54" t="s">
        <v>118</v>
      </c>
      <c r="AV353" s="53">
        <f t="shared" si="416"/>
        <v>0</v>
      </c>
      <c r="AW353" s="53">
        <f t="shared" si="417"/>
        <v>0</v>
      </c>
      <c r="AX353" s="53">
        <f t="shared" si="418"/>
        <v>0</v>
      </c>
      <c r="AY353" s="54" t="s">
        <v>1078</v>
      </c>
      <c r="AZ353" s="54" t="s">
        <v>983</v>
      </c>
      <c r="BA353" s="36" t="s">
        <v>116</v>
      </c>
      <c r="BC353" s="53">
        <f t="shared" si="419"/>
        <v>0</v>
      </c>
      <c r="BD353" s="53">
        <f t="shared" si="420"/>
        <v>0</v>
      </c>
      <c r="BE353" s="53">
        <v>0</v>
      </c>
      <c r="BF353" s="53">
        <f>353</f>
        <v>353</v>
      </c>
      <c r="BH353" s="53">
        <f t="shared" si="421"/>
        <v>0</v>
      </c>
      <c r="BI353" s="53">
        <f t="shared" si="422"/>
        <v>0</v>
      </c>
      <c r="BJ353" s="53">
        <f t="shared" si="423"/>
        <v>0</v>
      </c>
      <c r="BK353" s="54" t="s">
        <v>117</v>
      </c>
      <c r="BL353" s="53"/>
      <c r="BW353" s="53">
        <v>21</v>
      </c>
      <c r="BX353" s="3" t="s">
        <v>1129</v>
      </c>
    </row>
    <row r="354" spans="1:76" ht="23" x14ac:dyDescent="0.35">
      <c r="A354" s="1" t="s">
        <v>1130</v>
      </c>
      <c r="B354" s="2" t="s">
        <v>1131</v>
      </c>
      <c r="C354" s="91" t="s">
        <v>1132</v>
      </c>
      <c r="D354" s="88"/>
      <c r="E354" s="2" t="s">
        <v>434</v>
      </c>
      <c r="F354" s="53">
        <v>4</v>
      </c>
      <c r="G354" s="77">
        <v>0</v>
      </c>
      <c r="H354" s="53">
        <f t="shared" si="404"/>
        <v>0</v>
      </c>
      <c r="I354" s="79" t="s">
        <v>1688</v>
      </c>
      <c r="J354" s="49"/>
      <c r="Z354" s="53">
        <f t="shared" si="405"/>
        <v>0</v>
      </c>
      <c r="AB354" s="53">
        <f t="shared" si="406"/>
        <v>0</v>
      </c>
      <c r="AC354" s="53">
        <f t="shared" si="407"/>
        <v>0</v>
      </c>
      <c r="AD354" s="53">
        <f t="shared" si="408"/>
        <v>0</v>
      </c>
      <c r="AE354" s="53">
        <f t="shared" si="409"/>
        <v>0</v>
      </c>
      <c r="AF354" s="53">
        <f t="shared" si="410"/>
        <v>0</v>
      </c>
      <c r="AG354" s="53">
        <f t="shared" si="411"/>
        <v>0</v>
      </c>
      <c r="AH354" s="53">
        <f t="shared" si="412"/>
        <v>0</v>
      </c>
      <c r="AI354" s="36" t="s">
        <v>10</v>
      </c>
      <c r="AJ354" s="53">
        <f t="shared" si="413"/>
        <v>0</v>
      </c>
      <c r="AK354" s="53">
        <f t="shared" si="414"/>
        <v>0</v>
      </c>
      <c r="AL354" s="53">
        <f t="shared" si="415"/>
        <v>0</v>
      </c>
      <c r="AN354" s="53">
        <v>21</v>
      </c>
      <c r="AO354" s="53">
        <f>G354*0.466674157</f>
        <v>0</v>
      </c>
      <c r="AP354" s="53">
        <f>G354*(1-0.466674157)</f>
        <v>0</v>
      </c>
      <c r="AQ354" s="54" t="s">
        <v>118</v>
      </c>
      <c r="AV354" s="53">
        <f t="shared" si="416"/>
        <v>0</v>
      </c>
      <c r="AW354" s="53">
        <f t="shared" si="417"/>
        <v>0</v>
      </c>
      <c r="AX354" s="53">
        <f t="shared" si="418"/>
        <v>0</v>
      </c>
      <c r="AY354" s="54" t="s">
        <v>1078</v>
      </c>
      <c r="AZ354" s="54" t="s">
        <v>983</v>
      </c>
      <c r="BA354" s="36" t="s">
        <v>116</v>
      </c>
      <c r="BC354" s="53">
        <f t="shared" si="419"/>
        <v>0</v>
      </c>
      <c r="BD354" s="53">
        <f t="shared" si="420"/>
        <v>0</v>
      </c>
      <c r="BE354" s="53">
        <v>0</v>
      </c>
      <c r="BF354" s="53">
        <f>354</f>
        <v>354</v>
      </c>
      <c r="BH354" s="53">
        <f t="shared" si="421"/>
        <v>0</v>
      </c>
      <c r="BI354" s="53">
        <f t="shared" si="422"/>
        <v>0</v>
      </c>
      <c r="BJ354" s="53">
        <f t="shared" si="423"/>
        <v>0</v>
      </c>
      <c r="BK354" s="54" t="s">
        <v>117</v>
      </c>
      <c r="BL354" s="53"/>
      <c r="BW354" s="53">
        <v>21</v>
      </c>
      <c r="BX354" s="3" t="s">
        <v>1132</v>
      </c>
    </row>
    <row r="355" spans="1:76" ht="23" x14ac:dyDescent="0.35">
      <c r="A355" s="1" t="s">
        <v>1133</v>
      </c>
      <c r="B355" s="2" t="s">
        <v>1134</v>
      </c>
      <c r="C355" s="91" t="s">
        <v>1135</v>
      </c>
      <c r="D355" s="88"/>
      <c r="E355" s="2" t="s">
        <v>434</v>
      </c>
      <c r="F355" s="53">
        <v>128</v>
      </c>
      <c r="G355" s="77">
        <v>0</v>
      </c>
      <c r="H355" s="53">
        <f t="shared" si="404"/>
        <v>0</v>
      </c>
      <c r="I355" s="79" t="s">
        <v>1688</v>
      </c>
      <c r="J355" s="49"/>
      <c r="Z355" s="53">
        <f t="shared" si="405"/>
        <v>0</v>
      </c>
      <c r="AB355" s="53">
        <f t="shared" si="406"/>
        <v>0</v>
      </c>
      <c r="AC355" s="53">
        <f t="shared" si="407"/>
        <v>0</v>
      </c>
      <c r="AD355" s="53">
        <f t="shared" si="408"/>
        <v>0</v>
      </c>
      <c r="AE355" s="53">
        <f t="shared" si="409"/>
        <v>0</v>
      </c>
      <c r="AF355" s="53">
        <f t="shared" si="410"/>
        <v>0</v>
      </c>
      <c r="AG355" s="53">
        <f t="shared" si="411"/>
        <v>0</v>
      </c>
      <c r="AH355" s="53">
        <f t="shared" si="412"/>
        <v>0</v>
      </c>
      <c r="AI355" s="36" t="s">
        <v>10</v>
      </c>
      <c r="AJ355" s="53">
        <f t="shared" si="413"/>
        <v>0</v>
      </c>
      <c r="AK355" s="53">
        <f t="shared" si="414"/>
        <v>0</v>
      </c>
      <c r="AL355" s="53">
        <f t="shared" si="415"/>
        <v>0</v>
      </c>
      <c r="AN355" s="53">
        <v>21</v>
      </c>
      <c r="AO355" s="53">
        <f>G355*0.538455548</f>
        <v>0</v>
      </c>
      <c r="AP355" s="53">
        <f>G355*(1-0.538455548)</f>
        <v>0</v>
      </c>
      <c r="AQ355" s="54" t="s">
        <v>118</v>
      </c>
      <c r="AV355" s="53">
        <f t="shared" si="416"/>
        <v>0</v>
      </c>
      <c r="AW355" s="53">
        <f t="shared" si="417"/>
        <v>0</v>
      </c>
      <c r="AX355" s="53">
        <f t="shared" si="418"/>
        <v>0</v>
      </c>
      <c r="AY355" s="54" t="s">
        <v>1078</v>
      </c>
      <c r="AZ355" s="54" t="s">
        <v>983</v>
      </c>
      <c r="BA355" s="36" t="s">
        <v>116</v>
      </c>
      <c r="BC355" s="53">
        <f t="shared" si="419"/>
        <v>0</v>
      </c>
      <c r="BD355" s="53">
        <f t="shared" si="420"/>
        <v>0</v>
      </c>
      <c r="BE355" s="53">
        <v>0</v>
      </c>
      <c r="BF355" s="53">
        <f>355</f>
        <v>355</v>
      </c>
      <c r="BH355" s="53">
        <f t="shared" si="421"/>
        <v>0</v>
      </c>
      <c r="BI355" s="53">
        <f t="shared" si="422"/>
        <v>0</v>
      </c>
      <c r="BJ355" s="53">
        <f t="shared" si="423"/>
        <v>0</v>
      </c>
      <c r="BK355" s="54" t="s">
        <v>117</v>
      </c>
      <c r="BL355" s="53"/>
      <c r="BW355" s="53">
        <v>21</v>
      </c>
      <c r="BX355" s="3" t="s">
        <v>1135</v>
      </c>
    </row>
    <row r="356" spans="1:76" ht="23" x14ac:dyDescent="0.35">
      <c r="A356" s="1" t="s">
        <v>1136</v>
      </c>
      <c r="B356" s="2" t="s">
        <v>1137</v>
      </c>
      <c r="C356" s="91" t="s">
        <v>1138</v>
      </c>
      <c r="D356" s="88"/>
      <c r="E356" s="2" t="s">
        <v>434</v>
      </c>
      <c r="F356" s="53">
        <v>3</v>
      </c>
      <c r="G356" s="77">
        <v>0</v>
      </c>
      <c r="H356" s="53">
        <f t="shared" si="404"/>
        <v>0</v>
      </c>
      <c r="I356" s="79" t="s">
        <v>1688</v>
      </c>
      <c r="J356" s="49"/>
      <c r="Z356" s="53">
        <f t="shared" si="405"/>
        <v>0</v>
      </c>
      <c r="AB356" s="53">
        <f t="shared" si="406"/>
        <v>0</v>
      </c>
      <c r="AC356" s="53">
        <f t="shared" si="407"/>
        <v>0</v>
      </c>
      <c r="AD356" s="53">
        <f t="shared" si="408"/>
        <v>0</v>
      </c>
      <c r="AE356" s="53">
        <f t="shared" si="409"/>
        <v>0</v>
      </c>
      <c r="AF356" s="53">
        <f t="shared" si="410"/>
        <v>0</v>
      </c>
      <c r="AG356" s="53">
        <f t="shared" si="411"/>
        <v>0</v>
      </c>
      <c r="AH356" s="53">
        <f t="shared" si="412"/>
        <v>0</v>
      </c>
      <c r="AI356" s="36" t="s">
        <v>10</v>
      </c>
      <c r="AJ356" s="53">
        <f t="shared" si="413"/>
        <v>0</v>
      </c>
      <c r="AK356" s="53">
        <f t="shared" si="414"/>
        <v>0</v>
      </c>
      <c r="AL356" s="53">
        <f t="shared" si="415"/>
        <v>0</v>
      </c>
      <c r="AN356" s="53">
        <v>21</v>
      </c>
      <c r="AO356" s="53">
        <f>G356*0.425747912</f>
        <v>0</v>
      </c>
      <c r="AP356" s="53">
        <f>G356*(1-0.425747912)</f>
        <v>0</v>
      </c>
      <c r="AQ356" s="54" t="s">
        <v>118</v>
      </c>
      <c r="AV356" s="53">
        <f t="shared" si="416"/>
        <v>0</v>
      </c>
      <c r="AW356" s="53">
        <f t="shared" si="417"/>
        <v>0</v>
      </c>
      <c r="AX356" s="53">
        <f t="shared" si="418"/>
        <v>0</v>
      </c>
      <c r="AY356" s="54" t="s">
        <v>1078</v>
      </c>
      <c r="AZ356" s="54" t="s">
        <v>983</v>
      </c>
      <c r="BA356" s="36" t="s">
        <v>116</v>
      </c>
      <c r="BC356" s="53">
        <f t="shared" si="419"/>
        <v>0</v>
      </c>
      <c r="BD356" s="53">
        <f t="shared" si="420"/>
        <v>0</v>
      </c>
      <c r="BE356" s="53">
        <v>0</v>
      </c>
      <c r="BF356" s="53">
        <f>356</f>
        <v>356</v>
      </c>
      <c r="BH356" s="53">
        <f t="shared" si="421"/>
        <v>0</v>
      </c>
      <c r="BI356" s="53">
        <f t="shared" si="422"/>
        <v>0</v>
      </c>
      <c r="BJ356" s="53">
        <f t="shared" si="423"/>
        <v>0</v>
      </c>
      <c r="BK356" s="54" t="s">
        <v>117</v>
      </c>
      <c r="BL356" s="53"/>
      <c r="BW356" s="53">
        <v>21</v>
      </c>
      <c r="BX356" s="3" t="s">
        <v>1138</v>
      </c>
    </row>
    <row r="357" spans="1:76" ht="23" x14ac:dyDescent="0.35">
      <c r="A357" s="1" t="s">
        <v>1139</v>
      </c>
      <c r="B357" s="2" t="s">
        <v>1140</v>
      </c>
      <c r="C357" s="91" t="s">
        <v>1141</v>
      </c>
      <c r="D357" s="88"/>
      <c r="E357" s="2" t="s">
        <v>434</v>
      </c>
      <c r="F357" s="53">
        <v>190</v>
      </c>
      <c r="G357" s="77">
        <v>0</v>
      </c>
      <c r="H357" s="53">
        <f t="shared" si="404"/>
        <v>0</v>
      </c>
      <c r="I357" s="79" t="s">
        <v>1688</v>
      </c>
      <c r="J357" s="49"/>
      <c r="Z357" s="53">
        <f t="shared" si="405"/>
        <v>0</v>
      </c>
      <c r="AB357" s="53">
        <f t="shared" si="406"/>
        <v>0</v>
      </c>
      <c r="AC357" s="53">
        <f t="shared" si="407"/>
        <v>0</v>
      </c>
      <c r="AD357" s="53">
        <f t="shared" si="408"/>
        <v>0</v>
      </c>
      <c r="AE357" s="53">
        <f t="shared" si="409"/>
        <v>0</v>
      </c>
      <c r="AF357" s="53">
        <f t="shared" si="410"/>
        <v>0</v>
      </c>
      <c r="AG357" s="53">
        <f t="shared" si="411"/>
        <v>0</v>
      </c>
      <c r="AH357" s="53">
        <f t="shared" si="412"/>
        <v>0</v>
      </c>
      <c r="AI357" s="36" t="s">
        <v>10</v>
      </c>
      <c r="AJ357" s="53">
        <f t="shared" si="413"/>
        <v>0</v>
      </c>
      <c r="AK357" s="53">
        <f t="shared" si="414"/>
        <v>0</v>
      </c>
      <c r="AL357" s="53">
        <f t="shared" si="415"/>
        <v>0</v>
      </c>
      <c r="AN357" s="53">
        <v>21</v>
      </c>
      <c r="AO357" s="53">
        <f>G357*0.14769794</f>
        <v>0</v>
      </c>
      <c r="AP357" s="53">
        <f>G357*(1-0.14769794)</f>
        <v>0</v>
      </c>
      <c r="AQ357" s="54" t="s">
        <v>118</v>
      </c>
      <c r="AV357" s="53">
        <f t="shared" si="416"/>
        <v>0</v>
      </c>
      <c r="AW357" s="53">
        <f t="shared" si="417"/>
        <v>0</v>
      </c>
      <c r="AX357" s="53">
        <f t="shared" si="418"/>
        <v>0</v>
      </c>
      <c r="AY357" s="54" t="s">
        <v>1078</v>
      </c>
      <c r="AZ357" s="54" t="s">
        <v>983</v>
      </c>
      <c r="BA357" s="36" t="s">
        <v>116</v>
      </c>
      <c r="BC357" s="53">
        <f t="shared" si="419"/>
        <v>0</v>
      </c>
      <c r="BD357" s="53">
        <f t="shared" si="420"/>
        <v>0</v>
      </c>
      <c r="BE357" s="53">
        <v>0</v>
      </c>
      <c r="BF357" s="53">
        <f>357</f>
        <v>357</v>
      </c>
      <c r="BH357" s="53">
        <f t="shared" si="421"/>
        <v>0</v>
      </c>
      <c r="BI357" s="53">
        <f t="shared" si="422"/>
        <v>0</v>
      </c>
      <c r="BJ357" s="53">
        <f t="shared" si="423"/>
        <v>0</v>
      </c>
      <c r="BK357" s="54" t="s">
        <v>117</v>
      </c>
      <c r="BL357" s="53"/>
      <c r="BW357" s="53">
        <v>21</v>
      </c>
      <c r="BX357" s="3" t="s">
        <v>1141</v>
      </c>
    </row>
    <row r="358" spans="1:76" ht="23" x14ac:dyDescent="0.35">
      <c r="A358" s="1" t="s">
        <v>1142</v>
      </c>
      <c r="B358" s="2" t="s">
        <v>1143</v>
      </c>
      <c r="C358" s="91" t="s">
        <v>1144</v>
      </c>
      <c r="D358" s="88"/>
      <c r="E358" s="2" t="s">
        <v>434</v>
      </c>
      <c r="F358" s="53">
        <v>85</v>
      </c>
      <c r="G358" s="77">
        <v>0</v>
      </c>
      <c r="H358" s="53">
        <f t="shared" si="404"/>
        <v>0</v>
      </c>
      <c r="I358" s="79" t="s">
        <v>1688</v>
      </c>
      <c r="J358" s="49"/>
      <c r="Z358" s="53">
        <f t="shared" si="405"/>
        <v>0</v>
      </c>
      <c r="AB358" s="53">
        <f t="shared" si="406"/>
        <v>0</v>
      </c>
      <c r="AC358" s="53">
        <f t="shared" si="407"/>
        <v>0</v>
      </c>
      <c r="AD358" s="53">
        <f t="shared" si="408"/>
        <v>0</v>
      </c>
      <c r="AE358" s="53">
        <f t="shared" si="409"/>
        <v>0</v>
      </c>
      <c r="AF358" s="53">
        <f t="shared" si="410"/>
        <v>0</v>
      </c>
      <c r="AG358" s="53">
        <f t="shared" si="411"/>
        <v>0</v>
      </c>
      <c r="AH358" s="53">
        <f t="shared" si="412"/>
        <v>0</v>
      </c>
      <c r="AI358" s="36" t="s">
        <v>10</v>
      </c>
      <c r="AJ358" s="53">
        <f t="shared" si="413"/>
        <v>0</v>
      </c>
      <c r="AK358" s="53">
        <f t="shared" si="414"/>
        <v>0</v>
      </c>
      <c r="AL358" s="53">
        <f t="shared" si="415"/>
        <v>0</v>
      </c>
      <c r="AN358" s="53">
        <v>21</v>
      </c>
      <c r="AO358" s="53">
        <f>G358*0.064380461</f>
        <v>0</v>
      </c>
      <c r="AP358" s="53">
        <f>G358*(1-0.064380461)</f>
        <v>0</v>
      </c>
      <c r="AQ358" s="54" t="s">
        <v>118</v>
      </c>
      <c r="AV358" s="53">
        <f t="shared" si="416"/>
        <v>0</v>
      </c>
      <c r="AW358" s="53">
        <f t="shared" si="417"/>
        <v>0</v>
      </c>
      <c r="AX358" s="53">
        <f t="shared" si="418"/>
        <v>0</v>
      </c>
      <c r="AY358" s="54" t="s">
        <v>1078</v>
      </c>
      <c r="AZ358" s="54" t="s">
        <v>983</v>
      </c>
      <c r="BA358" s="36" t="s">
        <v>116</v>
      </c>
      <c r="BC358" s="53">
        <f t="shared" si="419"/>
        <v>0</v>
      </c>
      <c r="BD358" s="53">
        <f t="shared" si="420"/>
        <v>0</v>
      </c>
      <c r="BE358" s="53">
        <v>0</v>
      </c>
      <c r="BF358" s="53">
        <f>358</f>
        <v>358</v>
      </c>
      <c r="BH358" s="53">
        <f t="shared" si="421"/>
        <v>0</v>
      </c>
      <c r="BI358" s="53">
        <f t="shared" si="422"/>
        <v>0</v>
      </c>
      <c r="BJ358" s="53">
        <f t="shared" si="423"/>
        <v>0</v>
      </c>
      <c r="BK358" s="54" t="s">
        <v>117</v>
      </c>
      <c r="BL358" s="53"/>
      <c r="BW358" s="53">
        <v>21</v>
      </c>
      <c r="BX358" s="3" t="s">
        <v>1144</v>
      </c>
    </row>
    <row r="359" spans="1:76" ht="23" x14ac:dyDescent="0.35">
      <c r="A359" s="1" t="s">
        <v>1145</v>
      </c>
      <c r="B359" s="2" t="s">
        <v>1146</v>
      </c>
      <c r="C359" s="91" t="s">
        <v>1147</v>
      </c>
      <c r="D359" s="88"/>
      <c r="E359" s="2" t="s">
        <v>434</v>
      </c>
      <c r="F359" s="53">
        <v>2</v>
      </c>
      <c r="G359" s="77">
        <v>0</v>
      </c>
      <c r="H359" s="53">
        <f t="shared" si="404"/>
        <v>0</v>
      </c>
      <c r="I359" s="79" t="s">
        <v>1688</v>
      </c>
      <c r="J359" s="49"/>
      <c r="Z359" s="53">
        <f t="shared" si="405"/>
        <v>0</v>
      </c>
      <c r="AB359" s="53">
        <f t="shared" si="406"/>
        <v>0</v>
      </c>
      <c r="AC359" s="53">
        <f t="shared" si="407"/>
        <v>0</v>
      </c>
      <c r="AD359" s="53">
        <f t="shared" si="408"/>
        <v>0</v>
      </c>
      <c r="AE359" s="53">
        <f t="shared" si="409"/>
        <v>0</v>
      </c>
      <c r="AF359" s="53">
        <f t="shared" si="410"/>
        <v>0</v>
      </c>
      <c r="AG359" s="53">
        <f t="shared" si="411"/>
        <v>0</v>
      </c>
      <c r="AH359" s="53">
        <f t="shared" si="412"/>
        <v>0</v>
      </c>
      <c r="AI359" s="36" t="s">
        <v>10</v>
      </c>
      <c r="AJ359" s="53">
        <f t="shared" si="413"/>
        <v>0</v>
      </c>
      <c r="AK359" s="53">
        <f t="shared" si="414"/>
        <v>0</v>
      </c>
      <c r="AL359" s="53">
        <f t="shared" si="415"/>
        <v>0</v>
      </c>
      <c r="AN359" s="53">
        <v>21</v>
      </c>
      <c r="AO359" s="53">
        <f>G359*0.504826999</f>
        <v>0</v>
      </c>
      <c r="AP359" s="53">
        <f>G359*(1-0.504826999)</f>
        <v>0</v>
      </c>
      <c r="AQ359" s="54" t="s">
        <v>118</v>
      </c>
      <c r="AV359" s="53">
        <f t="shared" si="416"/>
        <v>0</v>
      </c>
      <c r="AW359" s="53">
        <f t="shared" si="417"/>
        <v>0</v>
      </c>
      <c r="AX359" s="53">
        <f t="shared" si="418"/>
        <v>0</v>
      </c>
      <c r="AY359" s="54" t="s">
        <v>1078</v>
      </c>
      <c r="AZ359" s="54" t="s">
        <v>983</v>
      </c>
      <c r="BA359" s="36" t="s">
        <v>116</v>
      </c>
      <c r="BC359" s="53">
        <f t="shared" si="419"/>
        <v>0</v>
      </c>
      <c r="BD359" s="53">
        <f t="shared" si="420"/>
        <v>0</v>
      </c>
      <c r="BE359" s="53">
        <v>0</v>
      </c>
      <c r="BF359" s="53">
        <f>359</f>
        <v>359</v>
      </c>
      <c r="BH359" s="53">
        <f t="shared" si="421"/>
        <v>0</v>
      </c>
      <c r="BI359" s="53">
        <f t="shared" si="422"/>
        <v>0</v>
      </c>
      <c r="BJ359" s="53">
        <f t="shared" si="423"/>
        <v>0</v>
      </c>
      <c r="BK359" s="54" t="s">
        <v>117</v>
      </c>
      <c r="BL359" s="53"/>
      <c r="BW359" s="53">
        <v>21</v>
      </c>
      <c r="BX359" s="3" t="s">
        <v>1147</v>
      </c>
    </row>
    <row r="360" spans="1:76" ht="23" x14ac:dyDescent="0.35">
      <c r="A360" s="1" t="s">
        <v>1148</v>
      </c>
      <c r="B360" s="2" t="s">
        <v>1149</v>
      </c>
      <c r="C360" s="91" t="s">
        <v>1150</v>
      </c>
      <c r="D360" s="88"/>
      <c r="E360" s="2" t="s">
        <v>137</v>
      </c>
      <c r="F360" s="53">
        <v>135</v>
      </c>
      <c r="G360" s="77">
        <v>0</v>
      </c>
      <c r="H360" s="53">
        <f t="shared" si="404"/>
        <v>0</v>
      </c>
      <c r="I360" s="79" t="s">
        <v>1688</v>
      </c>
      <c r="J360" s="49"/>
      <c r="Z360" s="53">
        <f t="shared" si="405"/>
        <v>0</v>
      </c>
      <c r="AB360" s="53">
        <f t="shared" si="406"/>
        <v>0</v>
      </c>
      <c r="AC360" s="53">
        <f t="shared" si="407"/>
        <v>0</v>
      </c>
      <c r="AD360" s="53">
        <f t="shared" si="408"/>
        <v>0</v>
      </c>
      <c r="AE360" s="53">
        <f t="shared" si="409"/>
        <v>0</v>
      </c>
      <c r="AF360" s="53">
        <f t="shared" si="410"/>
        <v>0</v>
      </c>
      <c r="AG360" s="53">
        <f t="shared" si="411"/>
        <v>0</v>
      </c>
      <c r="AH360" s="53">
        <f t="shared" si="412"/>
        <v>0</v>
      </c>
      <c r="AI360" s="36" t="s">
        <v>10</v>
      </c>
      <c r="AJ360" s="53">
        <f t="shared" si="413"/>
        <v>0</v>
      </c>
      <c r="AK360" s="53">
        <f t="shared" si="414"/>
        <v>0</v>
      </c>
      <c r="AL360" s="53">
        <f t="shared" si="415"/>
        <v>0</v>
      </c>
      <c r="AN360" s="53">
        <v>21</v>
      </c>
      <c r="AO360" s="53">
        <f>G360*0.897728724</f>
        <v>0</v>
      </c>
      <c r="AP360" s="53">
        <f>G360*(1-0.897728724)</f>
        <v>0</v>
      </c>
      <c r="AQ360" s="54" t="s">
        <v>118</v>
      </c>
      <c r="AV360" s="53">
        <f t="shared" si="416"/>
        <v>0</v>
      </c>
      <c r="AW360" s="53">
        <f t="shared" si="417"/>
        <v>0</v>
      </c>
      <c r="AX360" s="53">
        <f t="shared" si="418"/>
        <v>0</v>
      </c>
      <c r="AY360" s="54" t="s">
        <v>1078</v>
      </c>
      <c r="AZ360" s="54" t="s">
        <v>983</v>
      </c>
      <c r="BA360" s="36" t="s">
        <v>116</v>
      </c>
      <c r="BC360" s="53">
        <f t="shared" si="419"/>
        <v>0</v>
      </c>
      <c r="BD360" s="53">
        <f t="shared" si="420"/>
        <v>0</v>
      </c>
      <c r="BE360" s="53">
        <v>0</v>
      </c>
      <c r="BF360" s="53">
        <f>360</f>
        <v>360</v>
      </c>
      <c r="BH360" s="53">
        <f t="shared" si="421"/>
        <v>0</v>
      </c>
      <c r="BI360" s="53">
        <f t="shared" si="422"/>
        <v>0</v>
      </c>
      <c r="BJ360" s="53">
        <f t="shared" si="423"/>
        <v>0</v>
      </c>
      <c r="BK360" s="54" t="s">
        <v>117</v>
      </c>
      <c r="BL360" s="53"/>
      <c r="BW360" s="53">
        <v>21</v>
      </c>
      <c r="BX360" s="3" t="s">
        <v>1150</v>
      </c>
    </row>
    <row r="361" spans="1:76" ht="23" x14ac:dyDescent="0.35">
      <c r="A361" s="1" t="s">
        <v>1151</v>
      </c>
      <c r="B361" s="2" t="s">
        <v>1152</v>
      </c>
      <c r="C361" s="91" t="s">
        <v>1153</v>
      </c>
      <c r="D361" s="88"/>
      <c r="E361" s="2" t="s">
        <v>137</v>
      </c>
      <c r="F361" s="53">
        <v>20</v>
      </c>
      <c r="G361" s="77">
        <v>0</v>
      </c>
      <c r="H361" s="53">
        <f t="shared" si="404"/>
        <v>0</v>
      </c>
      <c r="I361" s="79" t="s">
        <v>1688</v>
      </c>
      <c r="J361" s="49"/>
      <c r="Z361" s="53">
        <f t="shared" si="405"/>
        <v>0</v>
      </c>
      <c r="AB361" s="53">
        <f t="shared" si="406"/>
        <v>0</v>
      </c>
      <c r="AC361" s="53">
        <f t="shared" si="407"/>
        <v>0</v>
      </c>
      <c r="AD361" s="53">
        <f t="shared" si="408"/>
        <v>0</v>
      </c>
      <c r="AE361" s="53">
        <f t="shared" si="409"/>
        <v>0</v>
      </c>
      <c r="AF361" s="53">
        <f t="shared" si="410"/>
        <v>0</v>
      </c>
      <c r="AG361" s="53">
        <f t="shared" si="411"/>
        <v>0</v>
      </c>
      <c r="AH361" s="53">
        <f t="shared" si="412"/>
        <v>0</v>
      </c>
      <c r="AI361" s="36" t="s">
        <v>10</v>
      </c>
      <c r="AJ361" s="53">
        <f t="shared" si="413"/>
        <v>0</v>
      </c>
      <c r="AK361" s="53">
        <f t="shared" si="414"/>
        <v>0</v>
      </c>
      <c r="AL361" s="53">
        <f t="shared" si="415"/>
        <v>0</v>
      </c>
      <c r="AN361" s="53">
        <v>21</v>
      </c>
      <c r="AO361" s="53">
        <f>G361*0.819095618</f>
        <v>0</v>
      </c>
      <c r="AP361" s="53">
        <f>G361*(1-0.819095618)</f>
        <v>0</v>
      </c>
      <c r="AQ361" s="54" t="s">
        <v>118</v>
      </c>
      <c r="AV361" s="53">
        <f t="shared" si="416"/>
        <v>0</v>
      </c>
      <c r="AW361" s="53">
        <f t="shared" si="417"/>
        <v>0</v>
      </c>
      <c r="AX361" s="53">
        <f t="shared" si="418"/>
        <v>0</v>
      </c>
      <c r="AY361" s="54" t="s">
        <v>1078</v>
      </c>
      <c r="AZ361" s="54" t="s">
        <v>983</v>
      </c>
      <c r="BA361" s="36" t="s">
        <v>116</v>
      </c>
      <c r="BC361" s="53">
        <f t="shared" si="419"/>
        <v>0</v>
      </c>
      <c r="BD361" s="53">
        <f t="shared" si="420"/>
        <v>0</v>
      </c>
      <c r="BE361" s="53">
        <v>0</v>
      </c>
      <c r="BF361" s="53">
        <f>361</f>
        <v>361</v>
      </c>
      <c r="BH361" s="53">
        <f t="shared" si="421"/>
        <v>0</v>
      </c>
      <c r="BI361" s="53">
        <f t="shared" si="422"/>
        <v>0</v>
      </c>
      <c r="BJ361" s="53">
        <f t="shared" si="423"/>
        <v>0</v>
      </c>
      <c r="BK361" s="54" t="s">
        <v>117</v>
      </c>
      <c r="BL361" s="53"/>
      <c r="BW361" s="53">
        <v>21</v>
      </c>
      <c r="BX361" s="3" t="s">
        <v>1153</v>
      </c>
    </row>
    <row r="362" spans="1:76" ht="23" x14ac:dyDescent="0.35">
      <c r="A362" s="1" t="s">
        <v>1154</v>
      </c>
      <c r="B362" s="2" t="s">
        <v>1155</v>
      </c>
      <c r="C362" s="91" t="s">
        <v>1156</v>
      </c>
      <c r="D362" s="88"/>
      <c r="E362" s="2" t="s">
        <v>137</v>
      </c>
      <c r="F362" s="53">
        <v>25</v>
      </c>
      <c r="G362" s="77">
        <v>0</v>
      </c>
      <c r="H362" s="53">
        <f t="shared" si="404"/>
        <v>0</v>
      </c>
      <c r="I362" s="79" t="s">
        <v>1688</v>
      </c>
      <c r="J362" s="49"/>
      <c r="Z362" s="53">
        <f t="shared" si="405"/>
        <v>0</v>
      </c>
      <c r="AB362" s="53">
        <f t="shared" si="406"/>
        <v>0</v>
      </c>
      <c r="AC362" s="53">
        <f t="shared" si="407"/>
        <v>0</v>
      </c>
      <c r="AD362" s="53">
        <f t="shared" si="408"/>
        <v>0</v>
      </c>
      <c r="AE362" s="53">
        <f t="shared" si="409"/>
        <v>0</v>
      </c>
      <c r="AF362" s="53">
        <f t="shared" si="410"/>
        <v>0</v>
      </c>
      <c r="AG362" s="53">
        <f t="shared" si="411"/>
        <v>0</v>
      </c>
      <c r="AH362" s="53">
        <f t="shared" si="412"/>
        <v>0</v>
      </c>
      <c r="AI362" s="36" t="s">
        <v>10</v>
      </c>
      <c r="AJ362" s="53">
        <f t="shared" si="413"/>
        <v>0</v>
      </c>
      <c r="AK362" s="53">
        <f t="shared" si="414"/>
        <v>0</v>
      </c>
      <c r="AL362" s="53">
        <f t="shared" si="415"/>
        <v>0</v>
      </c>
      <c r="AN362" s="53">
        <v>21</v>
      </c>
      <c r="AO362" s="53">
        <f>G362*0.89358864</f>
        <v>0</v>
      </c>
      <c r="AP362" s="53">
        <f>G362*(1-0.89358864)</f>
        <v>0</v>
      </c>
      <c r="AQ362" s="54" t="s">
        <v>118</v>
      </c>
      <c r="AV362" s="53">
        <f t="shared" si="416"/>
        <v>0</v>
      </c>
      <c r="AW362" s="53">
        <f t="shared" si="417"/>
        <v>0</v>
      </c>
      <c r="AX362" s="53">
        <f t="shared" si="418"/>
        <v>0</v>
      </c>
      <c r="AY362" s="54" t="s">
        <v>1078</v>
      </c>
      <c r="AZ362" s="54" t="s">
        <v>983</v>
      </c>
      <c r="BA362" s="36" t="s">
        <v>116</v>
      </c>
      <c r="BC362" s="53">
        <f t="shared" si="419"/>
        <v>0</v>
      </c>
      <c r="BD362" s="53">
        <f t="shared" si="420"/>
        <v>0</v>
      </c>
      <c r="BE362" s="53">
        <v>0</v>
      </c>
      <c r="BF362" s="53">
        <f>362</f>
        <v>362</v>
      </c>
      <c r="BH362" s="53">
        <f t="shared" si="421"/>
        <v>0</v>
      </c>
      <c r="BI362" s="53">
        <f t="shared" si="422"/>
        <v>0</v>
      </c>
      <c r="BJ362" s="53">
        <f t="shared" si="423"/>
        <v>0</v>
      </c>
      <c r="BK362" s="54" t="s">
        <v>117</v>
      </c>
      <c r="BL362" s="53"/>
      <c r="BW362" s="53">
        <v>21</v>
      </c>
      <c r="BX362" s="3" t="s">
        <v>1156</v>
      </c>
    </row>
    <row r="363" spans="1:76" ht="23" x14ac:dyDescent="0.35">
      <c r="A363" s="1" t="s">
        <v>1157</v>
      </c>
      <c r="B363" s="2" t="s">
        <v>1158</v>
      </c>
      <c r="C363" s="91" t="s">
        <v>1159</v>
      </c>
      <c r="D363" s="88"/>
      <c r="E363" s="2" t="s">
        <v>137</v>
      </c>
      <c r="F363" s="53">
        <v>155</v>
      </c>
      <c r="G363" s="77">
        <v>0</v>
      </c>
      <c r="H363" s="53">
        <f t="shared" si="404"/>
        <v>0</v>
      </c>
      <c r="I363" s="79" t="s">
        <v>1688</v>
      </c>
      <c r="J363" s="49"/>
      <c r="Z363" s="53">
        <f t="shared" si="405"/>
        <v>0</v>
      </c>
      <c r="AB363" s="53">
        <f t="shared" si="406"/>
        <v>0</v>
      </c>
      <c r="AC363" s="53">
        <f t="shared" si="407"/>
        <v>0</v>
      </c>
      <c r="AD363" s="53">
        <f t="shared" si="408"/>
        <v>0</v>
      </c>
      <c r="AE363" s="53">
        <f t="shared" si="409"/>
        <v>0</v>
      </c>
      <c r="AF363" s="53">
        <f t="shared" si="410"/>
        <v>0</v>
      </c>
      <c r="AG363" s="53">
        <f t="shared" si="411"/>
        <v>0</v>
      </c>
      <c r="AH363" s="53">
        <f t="shared" si="412"/>
        <v>0</v>
      </c>
      <c r="AI363" s="36" t="s">
        <v>10</v>
      </c>
      <c r="AJ363" s="53">
        <f t="shared" si="413"/>
        <v>0</v>
      </c>
      <c r="AK363" s="53">
        <f t="shared" si="414"/>
        <v>0</v>
      </c>
      <c r="AL363" s="53">
        <f t="shared" si="415"/>
        <v>0</v>
      </c>
      <c r="AN363" s="53">
        <v>21</v>
      </c>
      <c r="AO363" s="53">
        <f>G363*0.821441516</f>
        <v>0</v>
      </c>
      <c r="AP363" s="53">
        <f>G363*(1-0.821441516)</f>
        <v>0</v>
      </c>
      <c r="AQ363" s="54" t="s">
        <v>118</v>
      </c>
      <c r="AV363" s="53">
        <f t="shared" si="416"/>
        <v>0</v>
      </c>
      <c r="AW363" s="53">
        <f t="shared" si="417"/>
        <v>0</v>
      </c>
      <c r="AX363" s="53">
        <f t="shared" si="418"/>
        <v>0</v>
      </c>
      <c r="AY363" s="54" t="s">
        <v>1078</v>
      </c>
      <c r="AZ363" s="54" t="s">
        <v>983</v>
      </c>
      <c r="BA363" s="36" t="s">
        <v>116</v>
      </c>
      <c r="BC363" s="53">
        <f t="shared" si="419"/>
        <v>0</v>
      </c>
      <c r="BD363" s="53">
        <f t="shared" si="420"/>
        <v>0</v>
      </c>
      <c r="BE363" s="53">
        <v>0</v>
      </c>
      <c r="BF363" s="53">
        <f>363</f>
        <v>363</v>
      </c>
      <c r="BH363" s="53">
        <f t="shared" si="421"/>
        <v>0</v>
      </c>
      <c r="BI363" s="53">
        <f t="shared" si="422"/>
        <v>0</v>
      </c>
      <c r="BJ363" s="53">
        <f t="shared" si="423"/>
        <v>0</v>
      </c>
      <c r="BK363" s="54" t="s">
        <v>117</v>
      </c>
      <c r="BL363" s="53"/>
      <c r="BW363" s="53">
        <v>21</v>
      </c>
      <c r="BX363" s="3" t="s">
        <v>1159</v>
      </c>
    </row>
    <row r="364" spans="1:76" ht="23" x14ac:dyDescent="0.35">
      <c r="A364" s="1" t="s">
        <v>1160</v>
      </c>
      <c r="B364" s="2" t="s">
        <v>1161</v>
      </c>
      <c r="C364" s="91" t="s">
        <v>1162</v>
      </c>
      <c r="D364" s="88"/>
      <c r="E364" s="2" t="s">
        <v>137</v>
      </c>
      <c r="F364" s="53">
        <v>25</v>
      </c>
      <c r="G364" s="77">
        <v>0</v>
      </c>
      <c r="H364" s="53">
        <f t="shared" si="404"/>
        <v>0</v>
      </c>
      <c r="I364" s="79" t="s">
        <v>1688</v>
      </c>
      <c r="J364" s="49"/>
      <c r="Z364" s="53">
        <f t="shared" si="405"/>
        <v>0</v>
      </c>
      <c r="AB364" s="53">
        <f t="shared" si="406"/>
        <v>0</v>
      </c>
      <c r="AC364" s="53">
        <f t="shared" si="407"/>
        <v>0</v>
      </c>
      <c r="AD364" s="53">
        <f t="shared" si="408"/>
        <v>0</v>
      </c>
      <c r="AE364" s="53">
        <f t="shared" si="409"/>
        <v>0</v>
      </c>
      <c r="AF364" s="53">
        <f t="shared" si="410"/>
        <v>0</v>
      </c>
      <c r="AG364" s="53">
        <f t="shared" si="411"/>
        <v>0</v>
      </c>
      <c r="AH364" s="53">
        <f t="shared" si="412"/>
        <v>0</v>
      </c>
      <c r="AI364" s="36" t="s">
        <v>10</v>
      </c>
      <c r="AJ364" s="53">
        <f t="shared" si="413"/>
        <v>0</v>
      </c>
      <c r="AK364" s="53">
        <f t="shared" si="414"/>
        <v>0</v>
      </c>
      <c r="AL364" s="53">
        <f t="shared" si="415"/>
        <v>0</v>
      </c>
      <c r="AN364" s="53">
        <v>21</v>
      </c>
      <c r="AO364" s="53">
        <f>G364*0.782543962</f>
        <v>0</v>
      </c>
      <c r="AP364" s="53">
        <f>G364*(1-0.782543962)</f>
        <v>0</v>
      </c>
      <c r="AQ364" s="54" t="s">
        <v>118</v>
      </c>
      <c r="AV364" s="53">
        <f t="shared" si="416"/>
        <v>0</v>
      </c>
      <c r="AW364" s="53">
        <f t="shared" si="417"/>
        <v>0</v>
      </c>
      <c r="AX364" s="53">
        <f t="shared" si="418"/>
        <v>0</v>
      </c>
      <c r="AY364" s="54" t="s">
        <v>1078</v>
      </c>
      <c r="AZ364" s="54" t="s">
        <v>983</v>
      </c>
      <c r="BA364" s="36" t="s">
        <v>116</v>
      </c>
      <c r="BC364" s="53">
        <f t="shared" si="419"/>
        <v>0</v>
      </c>
      <c r="BD364" s="53">
        <f t="shared" si="420"/>
        <v>0</v>
      </c>
      <c r="BE364" s="53">
        <v>0</v>
      </c>
      <c r="BF364" s="53">
        <f>364</f>
        <v>364</v>
      </c>
      <c r="BH364" s="53">
        <f t="shared" si="421"/>
        <v>0</v>
      </c>
      <c r="BI364" s="53">
        <f t="shared" si="422"/>
        <v>0</v>
      </c>
      <c r="BJ364" s="53">
        <f t="shared" si="423"/>
        <v>0</v>
      </c>
      <c r="BK364" s="54" t="s">
        <v>117</v>
      </c>
      <c r="BL364" s="53"/>
      <c r="BW364" s="53">
        <v>21</v>
      </c>
      <c r="BX364" s="3" t="s">
        <v>1162</v>
      </c>
    </row>
    <row r="365" spans="1:76" ht="23" x14ac:dyDescent="0.35">
      <c r="A365" s="1" t="s">
        <v>1163</v>
      </c>
      <c r="B365" s="2" t="s">
        <v>1164</v>
      </c>
      <c r="C365" s="91" t="s">
        <v>1165</v>
      </c>
      <c r="D365" s="88"/>
      <c r="E365" s="2" t="s">
        <v>137</v>
      </c>
      <c r="F365" s="53">
        <v>90</v>
      </c>
      <c r="G365" s="77">
        <v>0</v>
      </c>
      <c r="H365" s="53">
        <f t="shared" si="404"/>
        <v>0</v>
      </c>
      <c r="I365" s="79" t="s">
        <v>1688</v>
      </c>
      <c r="J365" s="49"/>
      <c r="Z365" s="53">
        <f t="shared" si="405"/>
        <v>0</v>
      </c>
      <c r="AB365" s="53">
        <f t="shared" si="406"/>
        <v>0</v>
      </c>
      <c r="AC365" s="53">
        <f t="shared" si="407"/>
        <v>0</v>
      </c>
      <c r="AD365" s="53">
        <f t="shared" si="408"/>
        <v>0</v>
      </c>
      <c r="AE365" s="53">
        <f t="shared" si="409"/>
        <v>0</v>
      </c>
      <c r="AF365" s="53">
        <f t="shared" si="410"/>
        <v>0</v>
      </c>
      <c r="AG365" s="53">
        <f t="shared" si="411"/>
        <v>0</v>
      </c>
      <c r="AH365" s="53">
        <f t="shared" si="412"/>
        <v>0</v>
      </c>
      <c r="AI365" s="36" t="s">
        <v>10</v>
      </c>
      <c r="AJ365" s="53">
        <f t="shared" si="413"/>
        <v>0</v>
      </c>
      <c r="AK365" s="53">
        <f t="shared" si="414"/>
        <v>0</v>
      </c>
      <c r="AL365" s="53">
        <f t="shared" si="415"/>
        <v>0</v>
      </c>
      <c r="AN365" s="53">
        <v>21</v>
      </c>
      <c r="AO365" s="53">
        <f>G365*0.580970082</f>
        <v>0</v>
      </c>
      <c r="AP365" s="53">
        <f>G365*(1-0.580970082)</f>
        <v>0</v>
      </c>
      <c r="AQ365" s="54" t="s">
        <v>118</v>
      </c>
      <c r="AV365" s="53">
        <f t="shared" si="416"/>
        <v>0</v>
      </c>
      <c r="AW365" s="53">
        <f t="shared" si="417"/>
        <v>0</v>
      </c>
      <c r="AX365" s="53">
        <f t="shared" si="418"/>
        <v>0</v>
      </c>
      <c r="AY365" s="54" t="s">
        <v>1078</v>
      </c>
      <c r="AZ365" s="54" t="s">
        <v>983</v>
      </c>
      <c r="BA365" s="36" t="s">
        <v>116</v>
      </c>
      <c r="BC365" s="53">
        <f t="shared" si="419"/>
        <v>0</v>
      </c>
      <c r="BD365" s="53">
        <f t="shared" si="420"/>
        <v>0</v>
      </c>
      <c r="BE365" s="53">
        <v>0</v>
      </c>
      <c r="BF365" s="53">
        <f>365</f>
        <v>365</v>
      </c>
      <c r="BH365" s="53">
        <f t="shared" si="421"/>
        <v>0</v>
      </c>
      <c r="BI365" s="53">
        <f t="shared" si="422"/>
        <v>0</v>
      </c>
      <c r="BJ365" s="53">
        <f t="shared" si="423"/>
        <v>0</v>
      </c>
      <c r="BK365" s="54" t="s">
        <v>117</v>
      </c>
      <c r="BL365" s="53"/>
      <c r="BW365" s="53">
        <v>21</v>
      </c>
      <c r="BX365" s="3" t="s">
        <v>1165</v>
      </c>
    </row>
    <row r="366" spans="1:76" ht="23" x14ac:dyDescent="0.35">
      <c r="A366" s="1" t="s">
        <v>1166</v>
      </c>
      <c r="B366" s="2" t="s">
        <v>1167</v>
      </c>
      <c r="C366" s="91" t="s">
        <v>1168</v>
      </c>
      <c r="D366" s="88"/>
      <c r="E366" s="2" t="s">
        <v>137</v>
      </c>
      <c r="F366" s="53">
        <v>130</v>
      </c>
      <c r="G366" s="77">
        <v>0</v>
      </c>
      <c r="H366" s="53">
        <f t="shared" si="404"/>
        <v>0</v>
      </c>
      <c r="I366" s="79" t="s">
        <v>1688</v>
      </c>
      <c r="J366" s="49"/>
      <c r="Z366" s="53">
        <f t="shared" si="405"/>
        <v>0</v>
      </c>
      <c r="AB366" s="53">
        <f t="shared" si="406"/>
        <v>0</v>
      </c>
      <c r="AC366" s="53">
        <f t="shared" si="407"/>
        <v>0</v>
      </c>
      <c r="AD366" s="53">
        <f t="shared" si="408"/>
        <v>0</v>
      </c>
      <c r="AE366" s="53">
        <f t="shared" si="409"/>
        <v>0</v>
      </c>
      <c r="AF366" s="53">
        <f t="shared" si="410"/>
        <v>0</v>
      </c>
      <c r="AG366" s="53">
        <f t="shared" si="411"/>
        <v>0</v>
      </c>
      <c r="AH366" s="53">
        <f t="shared" si="412"/>
        <v>0</v>
      </c>
      <c r="AI366" s="36" t="s">
        <v>10</v>
      </c>
      <c r="AJ366" s="53">
        <f t="shared" si="413"/>
        <v>0</v>
      </c>
      <c r="AK366" s="53">
        <f t="shared" si="414"/>
        <v>0</v>
      </c>
      <c r="AL366" s="53">
        <f t="shared" si="415"/>
        <v>0</v>
      </c>
      <c r="AN366" s="53">
        <v>21</v>
      </c>
      <c r="AO366" s="53">
        <f>G366*0.555502121</f>
        <v>0</v>
      </c>
      <c r="AP366" s="53">
        <f>G366*(1-0.555502121)</f>
        <v>0</v>
      </c>
      <c r="AQ366" s="54" t="s">
        <v>118</v>
      </c>
      <c r="AV366" s="53">
        <f t="shared" si="416"/>
        <v>0</v>
      </c>
      <c r="AW366" s="53">
        <f t="shared" si="417"/>
        <v>0</v>
      </c>
      <c r="AX366" s="53">
        <f t="shared" si="418"/>
        <v>0</v>
      </c>
      <c r="AY366" s="54" t="s">
        <v>1078</v>
      </c>
      <c r="AZ366" s="54" t="s">
        <v>983</v>
      </c>
      <c r="BA366" s="36" t="s">
        <v>116</v>
      </c>
      <c r="BC366" s="53">
        <f t="shared" si="419"/>
        <v>0</v>
      </c>
      <c r="BD366" s="53">
        <f t="shared" si="420"/>
        <v>0</v>
      </c>
      <c r="BE366" s="53">
        <v>0</v>
      </c>
      <c r="BF366" s="53">
        <f>366</f>
        <v>366</v>
      </c>
      <c r="BH366" s="53">
        <f t="shared" si="421"/>
        <v>0</v>
      </c>
      <c r="BI366" s="53">
        <f t="shared" si="422"/>
        <v>0</v>
      </c>
      <c r="BJ366" s="53">
        <f t="shared" si="423"/>
        <v>0</v>
      </c>
      <c r="BK366" s="54" t="s">
        <v>117</v>
      </c>
      <c r="BL366" s="53"/>
      <c r="BW366" s="53">
        <v>21</v>
      </c>
      <c r="BX366" s="3" t="s">
        <v>1168</v>
      </c>
    </row>
    <row r="367" spans="1:76" ht="23" x14ac:dyDescent="0.35">
      <c r="A367" s="1" t="s">
        <v>1169</v>
      </c>
      <c r="B367" s="2" t="s">
        <v>1170</v>
      </c>
      <c r="C367" s="91" t="s">
        <v>1171</v>
      </c>
      <c r="D367" s="88"/>
      <c r="E367" s="2" t="s">
        <v>434</v>
      </c>
      <c r="F367" s="53">
        <v>75</v>
      </c>
      <c r="G367" s="77">
        <v>0</v>
      </c>
      <c r="H367" s="53">
        <f t="shared" si="404"/>
        <v>0</v>
      </c>
      <c r="I367" s="79" t="s">
        <v>1688</v>
      </c>
      <c r="J367" s="49"/>
      <c r="Z367" s="53">
        <f t="shared" si="405"/>
        <v>0</v>
      </c>
      <c r="AB367" s="53">
        <f t="shared" si="406"/>
        <v>0</v>
      </c>
      <c r="AC367" s="53">
        <f t="shared" si="407"/>
        <v>0</v>
      </c>
      <c r="AD367" s="53">
        <f t="shared" si="408"/>
        <v>0</v>
      </c>
      <c r="AE367" s="53">
        <f t="shared" si="409"/>
        <v>0</v>
      </c>
      <c r="AF367" s="53">
        <f t="shared" si="410"/>
        <v>0</v>
      </c>
      <c r="AG367" s="53">
        <f t="shared" si="411"/>
        <v>0</v>
      </c>
      <c r="AH367" s="53">
        <f t="shared" si="412"/>
        <v>0</v>
      </c>
      <c r="AI367" s="36" t="s">
        <v>10</v>
      </c>
      <c r="AJ367" s="53">
        <f t="shared" si="413"/>
        <v>0</v>
      </c>
      <c r="AK367" s="53">
        <f t="shared" si="414"/>
        <v>0</v>
      </c>
      <c r="AL367" s="53">
        <f t="shared" si="415"/>
        <v>0</v>
      </c>
      <c r="AN367" s="53">
        <v>21</v>
      </c>
      <c r="AO367" s="53">
        <f>G367*0.397044968</f>
        <v>0</v>
      </c>
      <c r="AP367" s="53">
        <f>G367*(1-0.397044968)</f>
        <v>0</v>
      </c>
      <c r="AQ367" s="54" t="s">
        <v>118</v>
      </c>
      <c r="AV367" s="53">
        <f t="shared" si="416"/>
        <v>0</v>
      </c>
      <c r="AW367" s="53">
        <f t="shared" si="417"/>
        <v>0</v>
      </c>
      <c r="AX367" s="53">
        <f t="shared" si="418"/>
        <v>0</v>
      </c>
      <c r="AY367" s="54" t="s">
        <v>1078</v>
      </c>
      <c r="AZ367" s="54" t="s">
        <v>983</v>
      </c>
      <c r="BA367" s="36" t="s">
        <v>116</v>
      </c>
      <c r="BC367" s="53">
        <f t="shared" si="419"/>
        <v>0</v>
      </c>
      <c r="BD367" s="53">
        <f t="shared" si="420"/>
        <v>0</v>
      </c>
      <c r="BE367" s="53">
        <v>0</v>
      </c>
      <c r="BF367" s="53">
        <f>367</f>
        <v>367</v>
      </c>
      <c r="BH367" s="53">
        <f t="shared" si="421"/>
        <v>0</v>
      </c>
      <c r="BI367" s="53">
        <f t="shared" si="422"/>
        <v>0</v>
      </c>
      <c r="BJ367" s="53">
        <f t="shared" si="423"/>
        <v>0</v>
      </c>
      <c r="BK367" s="54" t="s">
        <v>117</v>
      </c>
      <c r="BL367" s="53"/>
      <c r="BW367" s="53">
        <v>21</v>
      </c>
      <c r="BX367" s="3" t="s">
        <v>1171</v>
      </c>
    </row>
    <row r="368" spans="1:76" ht="23" x14ac:dyDescent="0.35">
      <c r="A368" s="1" t="s">
        <v>1172</v>
      </c>
      <c r="B368" s="2" t="s">
        <v>1173</v>
      </c>
      <c r="C368" s="91" t="s">
        <v>1174</v>
      </c>
      <c r="D368" s="88"/>
      <c r="E368" s="2" t="s">
        <v>137</v>
      </c>
      <c r="F368" s="53">
        <v>125</v>
      </c>
      <c r="G368" s="77">
        <v>0</v>
      </c>
      <c r="H368" s="53">
        <f t="shared" ref="H368:H387" si="424">ROUND(F368*G368,2)</f>
        <v>0</v>
      </c>
      <c r="I368" s="79" t="s">
        <v>1688</v>
      </c>
      <c r="J368" s="49"/>
      <c r="Z368" s="53">
        <f t="shared" ref="Z368:Z387" si="425">ROUND(IF(AQ368="5",BJ368,0),2)</f>
        <v>0</v>
      </c>
      <c r="AB368" s="53">
        <f t="shared" ref="AB368:AB387" si="426">ROUND(IF(AQ368="1",BH368,0),2)</f>
        <v>0</v>
      </c>
      <c r="AC368" s="53">
        <f t="shared" ref="AC368:AC387" si="427">ROUND(IF(AQ368="1",BI368,0),2)</f>
        <v>0</v>
      </c>
      <c r="AD368" s="53">
        <f t="shared" ref="AD368:AD387" si="428">ROUND(IF(AQ368="7",BH368,0),2)</f>
        <v>0</v>
      </c>
      <c r="AE368" s="53">
        <f t="shared" ref="AE368:AE387" si="429">ROUND(IF(AQ368="7",BI368,0),2)</f>
        <v>0</v>
      </c>
      <c r="AF368" s="53">
        <f t="shared" ref="AF368:AF387" si="430">ROUND(IF(AQ368="2",BH368,0),2)</f>
        <v>0</v>
      </c>
      <c r="AG368" s="53">
        <f t="shared" ref="AG368:AG387" si="431">ROUND(IF(AQ368="2",BI368,0),2)</f>
        <v>0</v>
      </c>
      <c r="AH368" s="53">
        <f t="shared" ref="AH368:AH387" si="432">ROUND(IF(AQ368="0",BJ368,0),2)</f>
        <v>0</v>
      </c>
      <c r="AI368" s="36" t="s">
        <v>10</v>
      </c>
      <c r="AJ368" s="53">
        <f t="shared" ref="AJ368:AJ387" si="433">IF(AN368=0,H368,0)</f>
        <v>0</v>
      </c>
      <c r="AK368" s="53">
        <f t="shared" ref="AK368:AK387" si="434">IF(AN368=12,H368,0)</f>
        <v>0</v>
      </c>
      <c r="AL368" s="53">
        <f t="shared" ref="AL368:AL387" si="435">IF(AN368=21,H368,0)</f>
        <v>0</v>
      </c>
      <c r="AN368" s="53">
        <v>21</v>
      </c>
      <c r="AO368" s="53">
        <f>G368*0.372717764</f>
        <v>0</v>
      </c>
      <c r="AP368" s="53">
        <f>G368*(1-0.372717764)</f>
        <v>0</v>
      </c>
      <c r="AQ368" s="54" t="s">
        <v>118</v>
      </c>
      <c r="AV368" s="53">
        <f t="shared" ref="AV368:AV387" si="436">ROUND(AW368+AX368,2)</f>
        <v>0</v>
      </c>
      <c r="AW368" s="53">
        <f t="shared" ref="AW368:AW387" si="437">ROUND(F368*AO368,2)</f>
        <v>0</v>
      </c>
      <c r="AX368" s="53">
        <f t="shared" ref="AX368:AX387" si="438">ROUND(F368*AP368,2)</f>
        <v>0</v>
      </c>
      <c r="AY368" s="54" t="s">
        <v>1078</v>
      </c>
      <c r="AZ368" s="54" t="s">
        <v>983</v>
      </c>
      <c r="BA368" s="36" t="s">
        <v>116</v>
      </c>
      <c r="BC368" s="53">
        <f t="shared" ref="BC368:BC387" si="439">AW368+AX368</f>
        <v>0</v>
      </c>
      <c r="BD368" s="53">
        <f t="shared" ref="BD368:BD387" si="440">G368/(100-BE368)*100</f>
        <v>0</v>
      </c>
      <c r="BE368" s="53">
        <v>0</v>
      </c>
      <c r="BF368" s="53">
        <f>368</f>
        <v>368</v>
      </c>
      <c r="BH368" s="53">
        <f t="shared" ref="BH368:BH387" si="441">F368*AO368</f>
        <v>0</v>
      </c>
      <c r="BI368" s="53">
        <f t="shared" ref="BI368:BI387" si="442">F368*AP368</f>
        <v>0</v>
      </c>
      <c r="BJ368" s="53">
        <f t="shared" ref="BJ368:BJ387" si="443">F368*G368</f>
        <v>0</v>
      </c>
      <c r="BK368" s="54" t="s">
        <v>117</v>
      </c>
      <c r="BL368" s="53"/>
      <c r="BW368" s="53">
        <v>21</v>
      </c>
      <c r="BX368" s="3" t="s">
        <v>1174</v>
      </c>
    </row>
    <row r="369" spans="1:76" ht="23" x14ac:dyDescent="0.35">
      <c r="A369" s="1" t="s">
        <v>1175</v>
      </c>
      <c r="B369" s="2" t="s">
        <v>1176</v>
      </c>
      <c r="C369" s="91" t="s">
        <v>1177</v>
      </c>
      <c r="D369" s="88"/>
      <c r="E369" s="2" t="s">
        <v>137</v>
      </c>
      <c r="F369" s="53">
        <v>2055</v>
      </c>
      <c r="G369" s="77">
        <v>0</v>
      </c>
      <c r="H369" s="53">
        <f t="shared" si="424"/>
        <v>0</v>
      </c>
      <c r="I369" s="79" t="s">
        <v>1688</v>
      </c>
      <c r="J369" s="49"/>
      <c r="Z369" s="53">
        <f t="shared" si="425"/>
        <v>0</v>
      </c>
      <c r="AB369" s="53">
        <f t="shared" si="426"/>
        <v>0</v>
      </c>
      <c r="AC369" s="53">
        <f t="shared" si="427"/>
        <v>0</v>
      </c>
      <c r="AD369" s="53">
        <f t="shared" si="428"/>
        <v>0</v>
      </c>
      <c r="AE369" s="53">
        <f t="shared" si="429"/>
        <v>0</v>
      </c>
      <c r="AF369" s="53">
        <f t="shared" si="430"/>
        <v>0</v>
      </c>
      <c r="AG369" s="53">
        <f t="shared" si="431"/>
        <v>0</v>
      </c>
      <c r="AH369" s="53">
        <f t="shared" si="432"/>
        <v>0</v>
      </c>
      <c r="AI369" s="36" t="s">
        <v>10</v>
      </c>
      <c r="AJ369" s="53">
        <f t="shared" si="433"/>
        <v>0</v>
      </c>
      <c r="AK369" s="53">
        <f t="shared" si="434"/>
        <v>0</v>
      </c>
      <c r="AL369" s="53">
        <f t="shared" si="435"/>
        <v>0</v>
      </c>
      <c r="AN369" s="53">
        <v>21</v>
      </c>
      <c r="AO369" s="53">
        <f>G369*0.324330141</f>
        <v>0</v>
      </c>
      <c r="AP369" s="53">
        <f>G369*(1-0.324330141)</f>
        <v>0</v>
      </c>
      <c r="AQ369" s="54" t="s">
        <v>118</v>
      </c>
      <c r="AV369" s="53">
        <f t="shared" si="436"/>
        <v>0</v>
      </c>
      <c r="AW369" s="53">
        <f t="shared" si="437"/>
        <v>0</v>
      </c>
      <c r="AX369" s="53">
        <f t="shared" si="438"/>
        <v>0</v>
      </c>
      <c r="AY369" s="54" t="s">
        <v>1078</v>
      </c>
      <c r="AZ369" s="54" t="s">
        <v>983</v>
      </c>
      <c r="BA369" s="36" t="s">
        <v>116</v>
      </c>
      <c r="BC369" s="53">
        <f t="shared" si="439"/>
        <v>0</v>
      </c>
      <c r="BD369" s="53">
        <f t="shared" si="440"/>
        <v>0</v>
      </c>
      <c r="BE369" s="53">
        <v>0</v>
      </c>
      <c r="BF369" s="53">
        <f>369</f>
        <v>369</v>
      </c>
      <c r="BH369" s="53">
        <f t="shared" si="441"/>
        <v>0</v>
      </c>
      <c r="BI369" s="53">
        <f t="shared" si="442"/>
        <v>0</v>
      </c>
      <c r="BJ369" s="53">
        <f t="shared" si="443"/>
        <v>0</v>
      </c>
      <c r="BK369" s="54" t="s">
        <v>117</v>
      </c>
      <c r="BL369" s="53"/>
      <c r="BW369" s="53">
        <v>21</v>
      </c>
      <c r="BX369" s="3" t="s">
        <v>1177</v>
      </c>
    </row>
    <row r="370" spans="1:76" ht="23" x14ac:dyDescent="0.35">
      <c r="A370" s="1" t="s">
        <v>1178</v>
      </c>
      <c r="B370" s="2" t="s">
        <v>1179</v>
      </c>
      <c r="C370" s="91" t="s">
        <v>1180</v>
      </c>
      <c r="D370" s="88"/>
      <c r="E370" s="2" t="s">
        <v>137</v>
      </c>
      <c r="F370" s="53">
        <v>720</v>
      </c>
      <c r="G370" s="77">
        <v>0</v>
      </c>
      <c r="H370" s="53">
        <f t="shared" si="424"/>
        <v>0</v>
      </c>
      <c r="I370" s="79" t="s">
        <v>1688</v>
      </c>
      <c r="J370" s="49"/>
      <c r="Z370" s="53">
        <f t="shared" si="425"/>
        <v>0</v>
      </c>
      <c r="AB370" s="53">
        <f t="shared" si="426"/>
        <v>0</v>
      </c>
      <c r="AC370" s="53">
        <f t="shared" si="427"/>
        <v>0</v>
      </c>
      <c r="AD370" s="53">
        <f t="shared" si="428"/>
        <v>0</v>
      </c>
      <c r="AE370" s="53">
        <f t="shared" si="429"/>
        <v>0</v>
      </c>
      <c r="AF370" s="53">
        <f t="shared" si="430"/>
        <v>0</v>
      </c>
      <c r="AG370" s="53">
        <f t="shared" si="431"/>
        <v>0</v>
      </c>
      <c r="AH370" s="53">
        <f t="shared" si="432"/>
        <v>0</v>
      </c>
      <c r="AI370" s="36" t="s">
        <v>10</v>
      </c>
      <c r="AJ370" s="53">
        <f t="shared" si="433"/>
        <v>0</v>
      </c>
      <c r="AK370" s="53">
        <f t="shared" si="434"/>
        <v>0</v>
      </c>
      <c r="AL370" s="53">
        <f t="shared" si="435"/>
        <v>0</v>
      </c>
      <c r="AN370" s="53">
        <v>21</v>
      </c>
      <c r="AO370" s="53">
        <f>G370*0.314077644</f>
        <v>0</v>
      </c>
      <c r="AP370" s="53">
        <f>G370*(1-0.314077644)</f>
        <v>0</v>
      </c>
      <c r="AQ370" s="54" t="s">
        <v>118</v>
      </c>
      <c r="AV370" s="53">
        <f t="shared" si="436"/>
        <v>0</v>
      </c>
      <c r="AW370" s="53">
        <f t="shared" si="437"/>
        <v>0</v>
      </c>
      <c r="AX370" s="53">
        <f t="shared" si="438"/>
        <v>0</v>
      </c>
      <c r="AY370" s="54" t="s">
        <v>1078</v>
      </c>
      <c r="AZ370" s="54" t="s">
        <v>983</v>
      </c>
      <c r="BA370" s="36" t="s">
        <v>116</v>
      </c>
      <c r="BC370" s="53">
        <f t="shared" si="439"/>
        <v>0</v>
      </c>
      <c r="BD370" s="53">
        <f t="shared" si="440"/>
        <v>0</v>
      </c>
      <c r="BE370" s="53">
        <v>0</v>
      </c>
      <c r="BF370" s="53">
        <f>370</f>
        <v>370</v>
      </c>
      <c r="BH370" s="53">
        <f t="shared" si="441"/>
        <v>0</v>
      </c>
      <c r="BI370" s="53">
        <f t="shared" si="442"/>
        <v>0</v>
      </c>
      <c r="BJ370" s="53">
        <f t="shared" si="443"/>
        <v>0</v>
      </c>
      <c r="BK370" s="54" t="s">
        <v>117</v>
      </c>
      <c r="BL370" s="53"/>
      <c r="BW370" s="53">
        <v>21</v>
      </c>
      <c r="BX370" s="3" t="s">
        <v>1180</v>
      </c>
    </row>
    <row r="371" spans="1:76" ht="23" x14ac:dyDescent="0.35">
      <c r="A371" s="1" t="s">
        <v>1181</v>
      </c>
      <c r="B371" s="2" t="s">
        <v>1182</v>
      </c>
      <c r="C371" s="91" t="s">
        <v>1183</v>
      </c>
      <c r="D371" s="88"/>
      <c r="E371" s="2" t="s">
        <v>137</v>
      </c>
      <c r="F371" s="53">
        <v>425</v>
      </c>
      <c r="G371" s="77">
        <v>0</v>
      </c>
      <c r="H371" s="53">
        <f t="shared" si="424"/>
        <v>0</v>
      </c>
      <c r="I371" s="79" t="s">
        <v>1688</v>
      </c>
      <c r="J371" s="49"/>
      <c r="Z371" s="53">
        <f t="shared" si="425"/>
        <v>0</v>
      </c>
      <c r="AB371" s="53">
        <f t="shared" si="426"/>
        <v>0</v>
      </c>
      <c r="AC371" s="53">
        <f t="shared" si="427"/>
        <v>0</v>
      </c>
      <c r="AD371" s="53">
        <f t="shared" si="428"/>
        <v>0</v>
      </c>
      <c r="AE371" s="53">
        <f t="shared" si="429"/>
        <v>0</v>
      </c>
      <c r="AF371" s="53">
        <f t="shared" si="430"/>
        <v>0</v>
      </c>
      <c r="AG371" s="53">
        <f t="shared" si="431"/>
        <v>0</v>
      </c>
      <c r="AH371" s="53">
        <f t="shared" si="432"/>
        <v>0</v>
      </c>
      <c r="AI371" s="36" t="s">
        <v>10</v>
      </c>
      <c r="AJ371" s="53">
        <f t="shared" si="433"/>
        <v>0</v>
      </c>
      <c r="AK371" s="53">
        <f t="shared" si="434"/>
        <v>0</v>
      </c>
      <c r="AL371" s="53">
        <f t="shared" si="435"/>
        <v>0</v>
      </c>
      <c r="AN371" s="53">
        <v>21</v>
      </c>
      <c r="AO371" s="53">
        <f>G371*0.557431317</f>
        <v>0</v>
      </c>
      <c r="AP371" s="53">
        <f>G371*(1-0.557431317)</f>
        <v>0</v>
      </c>
      <c r="AQ371" s="54" t="s">
        <v>118</v>
      </c>
      <c r="AV371" s="53">
        <f t="shared" si="436"/>
        <v>0</v>
      </c>
      <c r="AW371" s="53">
        <f t="shared" si="437"/>
        <v>0</v>
      </c>
      <c r="AX371" s="53">
        <f t="shared" si="438"/>
        <v>0</v>
      </c>
      <c r="AY371" s="54" t="s">
        <v>1078</v>
      </c>
      <c r="AZ371" s="54" t="s">
        <v>983</v>
      </c>
      <c r="BA371" s="36" t="s">
        <v>116</v>
      </c>
      <c r="BC371" s="53">
        <f t="shared" si="439"/>
        <v>0</v>
      </c>
      <c r="BD371" s="53">
        <f t="shared" si="440"/>
        <v>0</v>
      </c>
      <c r="BE371" s="53">
        <v>0</v>
      </c>
      <c r="BF371" s="53">
        <f>371</f>
        <v>371</v>
      </c>
      <c r="BH371" s="53">
        <f t="shared" si="441"/>
        <v>0</v>
      </c>
      <c r="BI371" s="53">
        <f t="shared" si="442"/>
        <v>0</v>
      </c>
      <c r="BJ371" s="53">
        <f t="shared" si="443"/>
        <v>0</v>
      </c>
      <c r="BK371" s="54" t="s">
        <v>117</v>
      </c>
      <c r="BL371" s="53"/>
      <c r="BW371" s="53">
        <v>21</v>
      </c>
      <c r="BX371" s="3" t="s">
        <v>1183</v>
      </c>
    </row>
    <row r="372" spans="1:76" ht="23" x14ac:dyDescent="0.35">
      <c r="A372" s="1" t="s">
        <v>1184</v>
      </c>
      <c r="B372" s="2" t="s">
        <v>1185</v>
      </c>
      <c r="C372" s="91" t="s">
        <v>1186</v>
      </c>
      <c r="D372" s="88"/>
      <c r="E372" s="2" t="s">
        <v>137</v>
      </c>
      <c r="F372" s="53">
        <v>100</v>
      </c>
      <c r="G372" s="77">
        <v>0</v>
      </c>
      <c r="H372" s="53">
        <f t="shared" si="424"/>
        <v>0</v>
      </c>
      <c r="I372" s="79" t="s">
        <v>1688</v>
      </c>
      <c r="J372" s="49"/>
      <c r="Z372" s="53">
        <f t="shared" si="425"/>
        <v>0</v>
      </c>
      <c r="AB372" s="53">
        <f t="shared" si="426"/>
        <v>0</v>
      </c>
      <c r="AC372" s="53">
        <f t="shared" si="427"/>
        <v>0</v>
      </c>
      <c r="AD372" s="53">
        <f t="shared" si="428"/>
        <v>0</v>
      </c>
      <c r="AE372" s="53">
        <f t="shared" si="429"/>
        <v>0</v>
      </c>
      <c r="AF372" s="53">
        <f t="shared" si="430"/>
        <v>0</v>
      </c>
      <c r="AG372" s="53">
        <f t="shared" si="431"/>
        <v>0</v>
      </c>
      <c r="AH372" s="53">
        <f t="shared" si="432"/>
        <v>0</v>
      </c>
      <c r="AI372" s="36" t="s">
        <v>10</v>
      </c>
      <c r="AJ372" s="53">
        <f t="shared" si="433"/>
        <v>0</v>
      </c>
      <c r="AK372" s="53">
        <f t="shared" si="434"/>
        <v>0</v>
      </c>
      <c r="AL372" s="53">
        <f t="shared" si="435"/>
        <v>0</v>
      </c>
      <c r="AN372" s="53">
        <v>21</v>
      </c>
      <c r="AO372" s="53">
        <f>G372*0.523818441</f>
        <v>0</v>
      </c>
      <c r="AP372" s="53">
        <f>G372*(1-0.523818441)</f>
        <v>0</v>
      </c>
      <c r="AQ372" s="54" t="s">
        <v>118</v>
      </c>
      <c r="AV372" s="53">
        <f t="shared" si="436"/>
        <v>0</v>
      </c>
      <c r="AW372" s="53">
        <f t="shared" si="437"/>
        <v>0</v>
      </c>
      <c r="AX372" s="53">
        <f t="shared" si="438"/>
        <v>0</v>
      </c>
      <c r="AY372" s="54" t="s">
        <v>1078</v>
      </c>
      <c r="AZ372" s="54" t="s">
        <v>983</v>
      </c>
      <c r="BA372" s="36" t="s">
        <v>116</v>
      </c>
      <c r="BC372" s="53">
        <f t="shared" si="439"/>
        <v>0</v>
      </c>
      <c r="BD372" s="53">
        <f t="shared" si="440"/>
        <v>0</v>
      </c>
      <c r="BE372" s="53">
        <v>0</v>
      </c>
      <c r="BF372" s="53">
        <f>372</f>
        <v>372</v>
      </c>
      <c r="BH372" s="53">
        <f t="shared" si="441"/>
        <v>0</v>
      </c>
      <c r="BI372" s="53">
        <f t="shared" si="442"/>
        <v>0</v>
      </c>
      <c r="BJ372" s="53">
        <f t="shared" si="443"/>
        <v>0</v>
      </c>
      <c r="BK372" s="54" t="s">
        <v>117</v>
      </c>
      <c r="BL372" s="53"/>
      <c r="BW372" s="53">
        <v>21</v>
      </c>
      <c r="BX372" s="3" t="s">
        <v>1186</v>
      </c>
    </row>
    <row r="373" spans="1:76" ht="23" x14ac:dyDescent="0.35">
      <c r="A373" s="1" t="s">
        <v>1187</v>
      </c>
      <c r="B373" s="2" t="s">
        <v>1188</v>
      </c>
      <c r="C373" s="91" t="s">
        <v>1189</v>
      </c>
      <c r="D373" s="88"/>
      <c r="E373" s="2" t="s">
        <v>137</v>
      </c>
      <c r="F373" s="53">
        <v>500</v>
      </c>
      <c r="G373" s="77">
        <v>0</v>
      </c>
      <c r="H373" s="53">
        <f t="shared" si="424"/>
        <v>0</v>
      </c>
      <c r="I373" s="79" t="s">
        <v>1688</v>
      </c>
      <c r="J373" s="49"/>
      <c r="Z373" s="53">
        <f t="shared" si="425"/>
        <v>0</v>
      </c>
      <c r="AB373" s="53">
        <f t="shared" si="426"/>
        <v>0</v>
      </c>
      <c r="AC373" s="53">
        <f t="shared" si="427"/>
        <v>0</v>
      </c>
      <c r="AD373" s="53">
        <f t="shared" si="428"/>
        <v>0</v>
      </c>
      <c r="AE373" s="53">
        <f t="shared" si="429"/>
        <v>0</v>
      </c>
      <c r="AF373" s="53">
        <f t="shared" si="430"/>
        <v>0</v>
      </c>
      <c r="AG373" s="53">
        <f t="shared" si="431"/>
        <v>0</v>
      </c>
      <c r="AH373" s="53">
        <f t="shared" si="432"/>
        <v>0</v>
      </c>
      <c r="AI373" s="36" t="s">
        <v>10</v>
      </c>
      <c r="AJ373" s="53">
        <f t="shared" si="433"/>
        <v>0</v>
      </c>
      <c r="AK373" s="53">
        <f t="shared" si="434"/>
        <v>0</v>
      </c>
      <c r="AL373" s="53">
        <f t="shared" si="435"/>
        <v>0</v>
      </c>
      <c r="AN373" s="53">
        <v>21</v>
      </c>
      <c r="AO373" s="53">
        <f>G373*0.466674157</f>
        <v>0</v>
      </c>
      <c r="AP373" s="53">
        <f>G373*(1-0.466674157)</f>
        <v>0</v>
      </c>
      <c r="AQ373" s="54" t="s">
        <v>118</v>
      </c>
      <c r="AV373" s="53">
        <f t="shared" si="436"/>
        <v>0</v>
      </c>
      <c r="AW373" s="53">
        <f t="shared" si="437"/>
        <v>0</v>
      </c>
      <c r="AX373" s="53">
        <f t="shared" si="438"/>
        <v>0</v>
      </c>
      <c r="AY373" s="54" t="s">
        <v>1078</v>
      </c>
      <c r="AZ373" s="54" t="s">
        <v>983</v>
      </c>
      <c r="BA373" s="36" t="s">
        <v>116</v>
      </c>
      <c r="BC373" s="53">
        <f t="shared" si="439"/>
        <v>0</v>
      </c>
      <c r="BD373" s="53">
        <f t="shared" si="440"/>
        <v>0</v>
      </c>
      <c r="BE373" s="53">
        <v>0</v>
      </c>
      <c r="BF373" s="53">
        <f>373</f>
        <v>373</v>
      </c>
      <c r="BH373" s="53">
        <f t="shared" si="441"/>
        <v>0</v>
      </c>
      <c r="BI373" s="53">
        <f t="shared" si="442"/>
        <v>0</v>
      </c>
      <c r="BJ373" s="53">
        <f t="shared" si="443"/>
        <v>0</v>
      </c>
      <c r="BK373" s="54" t="s">
        <v>117</v>
      </c>
      <c r="BL373" s="53"/>
      <c r="BW373" s="53">
        <v>21</v>
      </c>
      <c r="BX373" s="3" t="s">
        <v>1189</v>
      </c>
    </row>
    <row r="374" spans="1:76" ht="23" x14ac:dyDescent="0.35">
      <c r="A374" s="1" t="s">
        <v>1190</v>
      </c>
      <c r="B374" s="2" t="s">
        <v>1191</v>
      </c>
      <c r="C374" s="91" t="s">
        <v>1192</v>
      </c>
      <c r="D374" s="88"/>
      <c r="E374" s="2" t="s">
        <v>137</v>
      </c>
      <c r="F374" s="53">
        <v>30</v>
      </c>
      <c r="G374" s="77">
        <v>0</v>
      </c>
      <c r="H374" s="53">
        <f t="shared" si="424"/>
        <v>0</v>
      </c>
      <c r="I374" s="79" t="s">
        <v>1688</v>
      </c>
      <c r="J374" s="49"/>
      <c r="Z374" s="53">
        <f t="shared" si="425"/>
        <v>0</v>
      </c>
      <c r="AB374" s="53">
        <f t="shared" si="426"/>
        <v>0</v>
      </c>
      <c r="AC374" s="53">
        <f t="shared" si="427"/>
        <v>0</v>
      </c>
      <c r="AD374" s="53">
        <f t="shared" si="428"/>
        <v>0</v>
      </c>
      <c r="AE374" s="53">
        <f t="shared" si="429"/>
        <v>0</v>
      </c>
      <c r="AF374" s="53">
        <f t="shared" si="430"/>
        <v>0</v>
      </c>
      <c r="AG374" s="53">
        <f t="shared" si="431"/>
        <v>0</v>
      </c>
      <c r="AH374" s="53">
        <f t="shared" si="432"/>
        <v>0</v>
      </c>
      <c r="AI374" s="36" t="s">
        <v>10</v>
      </c>
      <c r="AJ374" s="53">
        <f t="shared" si="433"/>
        <v>0</v>
      </c>
      <c r="AK374" s="53">
        <f t="shared" si="434"/>
        <v>0</v>
      </c>
      <c r="AL374" s="53">
        <f t="shared" si="435"/>
        <v>0</v>
      </c>
      <c r="AN374" s="53">
        <v>21</v>
      </c>
      <c r="AO374" s="53">
        <f>G374*0.230842939</f>
        <v>0</v>
      </c>
      <c r="AP374" s="53">
        <f>G374*(1-0.230842939)</f>
        <v>0</v>
      </c>
      <c r="AQ374" s="54" t="s">
        <v>118</v>
      </c>
      <c r="AV374" s="53">
        <f t="shared" si="436"/>
        <v>0</v>
      </c>
      <c r="AW374" s="53">
        <f t="shared" si="437"/>
        <v>0</v>
      </c>
      <c r="AX374" s="53">
        <f t="shared" si="438"/>
        <v>0</v>
      </c>
      <c r="AY374" s="54" t="s">
        <v>1078</v>
      </c>
      <c r="AZ374" s="54" t="s">
        <v>983</v>
      </c>
      <c r="BA374" s="36" t="s">
        <v>116</v>
      </c>
      <c r="BC374" s="53">
        <f t="shared" si="439"/>
        <v>0</v>
      </c>
      <c r="BD374" s="53">
        <f t="shared" si="440"/>
        <v>0</v>
      </c>
      <c r="BE374" s="53">
        <v>0</v>
      </c>
      <c r="BF374" s="53">
        <f>374</f>
        <v>374</v>
      </c>
      <c r="BH374" s="53">
        <f t="shared" si="441"/>
        <v>0</v>
      </c>
      <c r="BI374" s="53">
        <f t="shared" si="442"/>
        <v>0</v>
      </c>
      <c r="BJ374" s="53">
        <f t="shared" si="443"/>
        <v>0</v>
      </c>
      <c r="BK374" s="54" t="s">
        <v>117</v>
      </c>
      <c r="BL374" s="53"/>
      <c r="BW374" s="53">
        <v>21</v>
      </c>
      <c r="BX374" s="3" t="s">
        <v>1192</v>
      </c>
    </row>
    <row r="375" spans="1:76" ht="23" x14ac:dyDescent="0.35">
      <c r="A375" s="1" t="s">
        <v>1193</v>
      </c>
      <c r="B375" s="2" t="s">
        <v>1194</v>
      </c>
      <c r="C375" s="91" t="s">
        <v>1195</v>
      </c>
      <c r="D375" s="88"/>
      <c r="E375" s="2" t="s">
        <v>137</v>
      </c>
      <c r="F375" s="53">
        <v>50</v>
      </c>
      <c r="G375" s="77">
        <v>0</v>
      </c>
      <c r="H375" s="53">
        <f t="shared" si="424"/>
        <v>0</v>
      </c>
      <c r="I375" s="79" t="s">
        <v>1688</v>
      </c>
      <c r="J375" s="49"/>
      <c r="Z375" s="53">
        <f t="shared" si="425"/>
        <v>0</v>
      </c>
      <c r="AB375" s="53">
        <f t="shared" si="426"/>
        <v>0</v>
      </c>
      <c r="AC375" s="53">
        <f t="shared" si="427"/>
        <v>0</v>
      </c>
      <c r="AD375" s="53">
        <f t="shared" si="428"/>
        <v>0</v>
      </c>
      <c r="AE375" s="53">
        <f t="shared" si="429"/>
        <v>0</v>
      </c>
      <c r="AF375" s="53">
        <f t="shared" si="430"/>
        <v>0</v>
      </c>
      <c r="AG375" s="53">
        <f t="shared" si="431"/>
        <v>0</v>
      </c>
      <c r="AH375" s="53">
        <f t="shared" si="432"/>
        <v>0</v>
      </c>
      <c r="AI375" s="36" t="s">
        <v>10</v>
      </c>
      <c r="AJ375" s="53">
        <f t="shared" si="433"/>
        <v>0</v>
      </c>
      <c r="AK375" s="53">
        <f t="shared" si="434"/>
        <v>0</v>
      </c>
      <c r="AL375" s="53">
        <f t="shared" si="435"/>
        <v>0</v>
      </c>
      <c r="AN375" s="53">
        <v>21</v>
      </c>
      <c r="AO375" s="53">
        <f>G375*0.207507418</f>
        <v>0</v>
      </c>
      <c r="AP375" s="53">
        <f>G375*(1-0.207507418)</f>
        <v>0</v>
      </c>
      <c r="AQ375" s="54" t="s">
        <v>118</v>
      </c>
      <c r="AV375" s="53">
        <f t="shared" si="436"/>
        <v>0</v>
      </c>
      <c r="AW375" s="53">
        <f t="shared" si="437"/>
        <v>0</v>
      </c>
      <c r="AX375" s="53">
        <f t="shared" si="438"/>
        <v>0</v>
      </c>
      <c r="AY375" s="54" t="s">
        <v>1078</v>
      </c>
      <c r="AZ375" s="54" t="s">
        <v>983</v>
      </c>
      <c r="BA375" s="36" t="s">
        <v>116</v>
      </c>
      <c r="BC375" s="53">
        <f t="shared" si="439"/>
        <v>0</v>
      </c>
      <c r="BD375" s="53">
        <f t="shared" si="440"/>
        <v>0</v>
      </c>
      <c r="BE375" s="53">
        <v>0</v>
      </c>
      <c r="BF375" s="53">
        <f>375</f>
        <v>375</v>
      </c>
      <c r="BH375" s="53">
        <f t="shared" si="441"/>
        <v>0</v>
      </c>
      <c r="BI375" s="53">
        <f t="shared" si="442"/>
        <v>0</v>
      </c>
      <c r="BJ375" s="53">
        <f t="shared" si="443"/>
        <v>0</v>
      </c>
      <c r="BK375" s="54" t="s">
        <v>117</v>
      </c>
      <c r="BL375" s="53"/>
      <c r="BW375" s="53">
        <v>21</v>
      </c>
      <c r="BX375" s="3" t="s">
        <v>1195</v>
      </c>
    </row>
    <row r="376" spans="1:76" ht="23" x14ac:dyDescent="0.35">
      <c r="A376" s="1" t="s">
        <v>1196</v>
      </c>
      <c r="B376" s="2" t="s">
        <v>1197</v>
      </c>
      <c r="C376" s="91" t="s">
        <v>1198</v>
      </c>
      <c r="D376" s="88"/>
      <c r="E376" s="2" t="s">
        <v>137</v>
      </c>
      <c r="F376" s="53">
        <v>50</v>
      </c>
      <c r="G376" s="77">
        <v>0</v>
      </c>
      <c r="H376" s="53">
        <f t="shared" si="424"/>
        <v>0</v>
      </c>
      <c r="I376" s="79" t="s">
        <v>1688</v>
      </c>
      <c r="J376" s="49"/>
      <c r="Z376" s="53">
        <f t="shared" si="425"/>
        <v>0</v>
      </c>
      <c r="AB376" s="53">
        <f t="shared" si="426"/>
        <v>0</v>
      </c>
      <c r="AC376" s="53">
        <f t="shared" si="427"/>
        <v>0</v>
      </c>
      <c r="AD376" s="53">
        <f t="shared" si="428"/>
        <v>0</v>
      </c>
      <c r="AE376" s="53">
        <f t="shared" si="429"/>
        <v>0</v>
      </c>
      <c r="AF376" s="53">
        <f t="shared" si="430"/>
        <v>0</v>
      </c>
      <c r="AG376" s="53">
        <f t="shared" si="431"/>
        <v>0</v>
      </c>
      <c r="AH376" s="53">
        <f t="shared" si="432"/>
        <v>0</v>
      </c>
      <c r="AI376" s="36" t="s">
        <v>10</v>
      </c>
      <c r="AJ376" s="53">
        <f t="shared" si="433"/>
        <v>0</v>
      </c>
      <c r="AK376" s="53">
        <f t="shared" si="434"/>
        <v>0</v>
      </c>
      <c r="AL376" s="53">
        <f t="shared" si="435"/>
        <v>0</v>
      </c>
      <c r="AN376" s="53">
        <v>21</v>
      </c>
      <c r="AO376" s="53">
        <f>G376*0</f>
        <v>0</v>
      </c>
      <c r="AP376" s="53">
        <f>G376*(1-0)</f>
        <v>0</v>
      </c>
      <c r="AQ376" s="54" t="s">
        <v>118</v>
      </c>
      <c r="AV376" s="53">
        <f t="shared" si="436"/>
        <v>0</v>
      </c>
      <c r="AW376" s="53">
        <f t="shared" si="437"/>
        <v>0</v>
      </c>
      <c r="AX376" s="53">
        <f t="shared" si="438"/>
        <v>0</v>
      </c>
      <c r="AY376" s="54" t="s">
        <v>1078</v>
      </c>
      <c r="AZ376" s="54" t="s">
        <v>983</v>
      </c>
      <c r="BA376" s="36" t="s">
        <v>116</v>
      </c>
      <c r="BC376" s="53">
        <f t="shared" si="439"/>
        <v>0</v>
      </c>
      <c r="BD376" s="53">
        <f t="shared" si="440"/>
        <v>0</v>
      </c>
      <c r="BE376" s="53">
        <v>0</v>
      </c>
      <c r="BF376" s="53">
        <f>376</f>
        <v>376</v>
      </c>
      <c r="BH376" s="53">
        <f t="shared" si="441"/>
        <v>0</v>
      </c>
      <c r="BI376" s="53">
        <f t="shared" si="442"/>
        <v>0</v>
      </c>
      <c r="BJ376" s="53">
        <f t="shared" si="443"/>
        <v>0</v>
      </c>
      <c r="BK376" s="54" t="s">
        <v>117</v>
      </c>
      <c r="BL376" s="53"/>
      <c r="BW376" s="53">
        <v>21</v>
      </c>
      <c r="BX376" s="3" t="s">
        <v>1198</v>
      </c>
    </row>
    <row r="377" spans="1:76" ht="23" x14ac:dyDescent="0.35">
      <c r="A377" s="1" t="s">
        <v>1199</v>
      </c>
      <c r="B377" s="2" t="s">
        <v>1197</v>
      </c>
      <c r="C377" s="91" t="s">
        <v>1200</v>
      </c>
      <c r="D377" s="88"/>
      <c r="E377" s="2" t="s">
        <v>137</v>
      </c>
      <c r="F377" s="53">
        <v>32</v>
      </c>
      <c r="G377" s="77">
        <v>0</v>
      </c>
      <c r="H377" s="53">
        <f t="shared" si="424"/>
        <v>0</v>
      </c>
      <c r="I377" s="79" t="s">
        <v>1688</v>
      </c>
      <c r="J377" s="49"/>
      <c r="Z377" s="53">
        <f t="shared" si="425"/>
        <v>0</v>
      </c>
      <c r="AB377" s="53">
        <f t="shared" si="426"/>
        <v>0</v>
      </c>
      <c r="AC377" s="53">
        <f t="shared" si="427"/>
        <v>0</v>
      </c>
      <c r="AD377" s="53">
        <f t="shared" si="428"/>
        <v>0</v>
      </c>
      <c r="AE377" s="53">
        <f t="shared" si="429"/>
        <v>0</v>
      </c>
      <c r="AF377" s="53">
        <f t="shared" si="430"/>
        <v>0</v>
      </c>
      <c r="AG377" s="53">
        <f t="shared" si="431"/>
        <v>0</v>
      </c>
      <c r="AH377" s="53">
        <f t="shared" si="432"/>
        <v>0</v>
      </c>
      <c r="AI377" s="36" t="s">
        <v>10</v>
      </c>
      <c r="AJ377" s="53">
        <f t="shared" si="433"/>
        <v>0</v>
      </c>
      <c r="AK377" s="53">
        <f t="shared" si="434"/>
        <v>0</v>
      </c>
      <c r="AL377" s="53">
        <f t="shared" si="435"/>
        <v>0</v>
      </c>
      <c r="AN377" s="53">
        <v>21</v>
      </c>
      <c r="AO377" s="53">
        <f>G377*0</f>
        <v>0</v>
      </c>
      <c r="AP377" s="53">
        <f>G377*(1-0)</f>
        <v>0</v>
      </c>
      <c r="AQ377" s="54" t="s">
        <v>118</v>
      </c>
      <c r="AV377" s="53">
        <f t="shared" si="436"/>
        <v>0</v>
      </c>
      <c r="AW377" s="53">
        <f t="shared" si="437"/>
        <v>0</v>
      </c>
      <c r="AX377" s="53">
        <f t="shared" si="438"/>
        <v>0</v>
      </c>
      <c r="AY377" s="54" t="s">
        <v>1078</v>
      </c>
      <c r="AZ377" s="54" t="s">
        <v>983</v>
      </c>
      <c r="BA377" s="36" t="s">
        <v>116</v>
      </c>
      <c r="BC377" s="53">
        <f t="shared" si="439"/>
        <v>0</v>
      </c>
      <c r="BD377" s="53">
        <f t="shared" si="440"/>
        <v>0</v>
      </c>
      <c r="BE377" s="53">
        <v>0</v>
      </c>
      <c r="BF377" s="53">
        <f>377</f>
        <v>377</v>
      </c>
      <c r="BH377" s="53">
        <f t="shared" si="441"/>
        <v>0</v>
      </c>
      <c r="BI377" s="53">
        <f t="shared" si="442"/>
        <v>0</v>
      </c>
      <c r="BJ377" s="53">
        <f t="shared" si="443"/>
        <v>0</v>
      </c>
      <c r="BK377" s="54" t="s">
        <v>117</v>
      </c>
      <c r="BL377" s="53"/>
      <c r="BW377" s="53">
        <v>21</v>
      </c>
      <c r="BX377" s="3" t="s">
        <v>1200</v>
      </c>
    </row>
    <row r="378" spans="1:76" ht="23" x14ac:dyDescent="0.35">
      <c r="A378" s="1" t="s">
        <v>1201</v>
      </c>
      <c r="B378" s="2" t="s">
        <v>1202</v>
      </c>
      <c r="C378" s="91" t="s">
        <v>1203</v>
      </c>
      <c r="D378" s="88"/>
      <c r="E378" s="2" t="s">
        <v>121</v>
      </c>
      <c r="F378" s="53">
        <v>476</v>
      </c>
      <c r="G378" s="77">
        <v>0</v>
      </c>
      <c r="H378" s="53">
        <f t="shared" si="424"/>
        <v>0</v>
      </c>
      <c r="I378" s="79" t="s">
        <v>1688</v>
      </c>
      <c r="J378" s="49"/>
      <c r="Z378" s="53">
        <f t="shared" si="425"/>
        <v>0</v>
      </c>
      <c r="AB378" s="53">
        <f t="shared" si="426"/>
        <v>0</v>
      </c>
      <c r="AC378" s="53">
        <f t="shared" si="427"/>
        <v>0</v>
      </c>
      <c r="AD378" s="53">
        <f t="shared" si="428"/>
        <v>0</v>
      </c>
      <c r="AE378" s="53">
        <f t="shared" si="429"/>
        <v>0</v>
      </c>
      <c r="AF378" s="53">
        <f t="shared" si="430"/>
        <v>0</v>
      </c>
      <c r="AG378" s="53">
        <f t="shared" si="431"/>
        <v>0</v>
      </c>
      <c r="AH378" s="53">
        <f t="shared" si="432"/>
        <v>0</v>
      </c>
      <c r="AI378" s="36" t="s">
        <v>10</v>
      </c>
      <c r="AJ378" s="53">
        <f t="shared" si="433"/>
        <v>0</v>
      </c>
      <c r="AK378" s="53">
        <f t="shared" si="434"/>
        <v>0</v>
      </c>
      <c r="AL378" s="53">
        <f t="shared" si="435"/>
        <v>0</v>
      </c>
      <c r="AN378" s="53">
        <v>21</v>
      </c>
      <c r="AO378" s="53">
        <f>G378*0</f>
        <v>0</v>
      </c>
      <c r="AP378" s="53">
        <f>G378*(1-0)</f>
        <v>0</v>
      </c>
      <c r="AQ378" s="54" t="s">
        <v>118</v>
      </c>
      <c r="AV378" s="53">
        <f t="shared" si="436"/>
        <v>0</v>
      </c>
      <c r="AW378" s="53">
        <f t="shared" si="437"/>
        <v>0</v>
      </c>
      <c r="AX378" s="53">
        <f t="shared" si="438"/>
        <v>0</v>
      </c>
      <c r="AY378" s="54" t="s">
        <v>1078</v>
      </c>
      <c r="AZ378" s="54" t="s">
        <v>983</v>
      </c>
      <c r="BA378" s="36" t="s">
        <v>116</v>
      </c>
      <c r="BC378" s="53">
        <f t="shared" si="439"/>
        <v>0</v>
      </c>
      <c r="BD378" s="53">
        <f t="shared" si="440"/>
        <v>0</v>
      </c>
      <c r="BE378" s="53">
        <v>0</v>
      </c>
      <c r="BF378" s="53">
        <f>378</f>
        <v>378</v>
      </c>
      <c r="BH378" s="53">
        <f t="shared" si="441"/>
        <v>0</v>
      </c>
      <c r="BI378" s="53">
        <f t="shared" si="442"/>
        <v>0</v>
      </c>
      <c r="BJ378" s="53">
        <f t="shared" si="443"/>
        <v>0</v>
      </c>
      <c r="BK378" s="54" t="s">
        <v>117</v>
      </c>
      <c r="BL378" s="53"/>
      <c r="BW378" s="53">
        <v>21</v>
      </c>
      <c r="BX378" s="3" t="s">
        <v>1203</v>
      </c>
    </row>
    <row r="379" spans="1:76" ht="23" x14ac:dyDescent="0.35">
      <c r="A379" s="1" t="s">
        <v>1204</v>
      </c>
      <c r="B379" s="2" t="s">
        <v>1205</v>
      </c>
      <c r="C379" s="91" t="s">
        <v>1206</v>
      </c>
      <c r="D379" s="88"/>
      <c r="E379" s="2" t="s">
        <v>424</v>
      </c>
      <c r="F379" s="53">
        <v>1</v>
      </c>
      <c r="G379" s="77">
        <v>0</v>
      </c>
      <c r="H379" s="53">
        <f t="shared" si="424"/>
        <v>0</v>
      </c>
      <c r="I379" s="79" t="s">
        <v>1688</v>
      </c>
      <c r="J379" s="49"/>
      <c r="Z379" s="53">
        <f t="shared" si="425"/>
        <v>0</v>
      </c>
      <c r="AB379" s="53">
        <f t="shared" si="426"/>
        <v>0</v>
      </c>
      <c r="AC379" s="53">
        <f t="shared" si="427"/>
        <v>0</v>
      </c>
      <c r="AD379" s="53">
        <f t="shared" si="428"/>
        <v>0</v>
      </c>
      <c r="AE379" s="53">
        <f t="shared" si="429"/>
        <v>0</v>
      </c>
      <c r="AF379" s="53">
        <f t="shared" si="430"/>
        <v>0</v>
      </c>
      <c r="AG379" s="53">
        <f t="shared" si="431"/>
        <v>0</v>
      </c>
      <c r="AH379" s="53">
        <f t="shared" si="432"/>
        <v>0</v>
      </c>
      <c r="AI379" s="36" t="s">
        <v>10</v>
      </c>
      <c r="AJ379" s="53">
        <f t="shared" si="433"/>
        <v>0</v>
      </c>
      <c r="AK379" s="53">
        <f t="shared" si="434"/>
        <v>0</v>
      </c>
      <c r="AL379" s="53">
        <f t="shared" si="435"/>
        <v>0</v>
      </c>
      <c r="AN379" s="53">
        <v>21</v>
      </c>
      <c r="AO379" s="53">
        <f>G379*0.600009438</f>
        <v>0</v>
      </c>
      <c r="AP379" s="53">
        <f>G379*(1-0.600009438)</f>
        <v>0</v>
      </c>
      <c r="AQ379" s="54" t="s">
        <v>118</v>
      </c>
      <c r="AV379" s="53">
        <f t="shared" si="436"/>
        <v>0</v>
      </c>
      <c r="AW379" s="53">
        <f t="shared" si="437"/>
        <v>0</v>
      </c>
      <c r="AX379" s="53">
        <f t="shared" si="438"/>
        <v>0</v>
      </c>
      <c r="AY379" s="54" t="s">
        <v>1078</v>
      </c>
      <c r="AZ379" s="54" t="s">
        <v>983</v>
      </c>
      <c r="BA379" s="36" t="s">
        <v>116</v>
      </c>
      <c r="BC379" s="53">
        <f t="shared" si="439"/>
        <v>0</v>
      </c>
      <c r="BD379" s="53">
        <f t="shared" si="440"/>
        <v>0</v>
      </c>
      <c r="BE379" s="53">
        <v>0</v>
      </c>
      <c r="BF379" s="53">
        <f>379</f>
        <v>379</v>
      </c>
      <c r="BH379" s="53">
        <f t="shared" si="441"/>
        <v>0</v>
      </c>
      <c r="BI379" s="53">
        <f t="shared" si="442"/>
        <v>0</v>
      </c>
      <c r="BJ379" s="53">
        <f t="shared" si="443"/>
        <v>0</v>
      </c>
      <c r="BK379" s="54" t="s">
        <v>117</v>
      </c>
      <c r="BL379" s="53"/>
      <c r="BW379" s="53">
        <v>21</v>
      </c>
      <c r="BX379" s="3" t="s">
        <v>1206</v>
      </c>
    </row>
    <row r="380" spans="1:76" ht="23" x14ac:dyDescent="0.35">
      <c r="A380" s="1" t="s">
        <v>1207</v>
      </c>
      <c r="B380" s="2" t="s">
        <v>1208</v>
      </c>
      <c r="C380" s="91" t="s">
        <v>1209</v>
      </c>
      <c r="D380" s="88"/>
      <c r="E380" s="2" t="s">
        <v>424</v>
      </c>
      <c r="F380" s="53">
        <v>1</v>
      </c>
      <c r="G380" s="77">
        <v>0</v>
      </c>
      <c r="H380" s="53">
        <f t="shared" si="424"/>
        <v>0</v>
      </c>
      <c r="I380" s="79" t="s">
        <v>1688</v>
      </c>
      <c r="J380" s="49"/>
      <c r="Z380" s="53">
        <f t="shared" si="425"/>
        <v>0</v>
      </c>
      <c r="AB380" s="53">
        <f t="shared" si="426"/>
        <v>0</v>
      </c>
      <c r="AC380" s="53">
        <f t="shared" si="427"/>
        <v>0</v>
      </c>
      <c r="AD380" s="53">
        <f t="shared" si="428"/>
        <v>0</v>
      </c>
      <c r="AE380" s="53">
        <f t="shared" si="429"/>
        <v>0</v>
      </c>
      <c r="AF380" s="53">
        <f t="shared" si="430"/>
        <v>0</v>
      </c>
      <c r="AG380" s="53">
        <f t="shared" si="431"/>
        <v>0</v>
      </c>
      <c r="AH380" s="53">
        <f t="shared" si="432"/>
        <v>0</v>
      </c>
      <c r="AI380" s="36" t="s">
        <v>10</v>
      </c>
      <c r="AJ380" s="53">
        <f t="shared" si="433"/>
        <v>0</v>
      </c>
      <c r="AK380" s="53">
        <f t="shared" si="434"/>
        <v>0</v>
      </c>
      <c r="AL380" s="53">
        <f t="shared" si="435"/>
        <v>0</v>
      </c>
      <c r="AN380" s="53">
        <v>21</v>
      </c>
      <c r="AO380" s="53">
        <f>G380*0.567567908</f>
        <v>0</v>
      </c>
      <c r="AP380" s="53">
        <f>G380*(1-0.567567908)</f>
        <v>0</v>
      </c>
      <c r="AQ380" s="54" t="s">
        <v>118</v>
      </c>
      <c r="AV380" s="53">
        <f t="shared" si="436"/>
        <v>0</v>
      </c>
      <c r="AW380" s="53">
        <f t="shared" si="437"/>
        <v>0</v>
      </c>
      <c r="AX380" s="53">
        <f t="shared" si="438"/>
        <v>0</v>
      </c>
      <c r="AY380" s="54" t="s">
        <v>1078</v>
      </c>
      <c r="AZ380" s="54" t="s">
        <v>983</v>
      </c>
      <c r="BA380" s="36" t="s">
        <v>116</v>
      </c>
      <c r="BC380" s="53">
        <f t="shared" si="439"/>
        <v>0</v>
      </c>
      <c r="BD380" s="53">
        <f t="shared" si="440"/>
        <v>0</v>
      </c>
      <c r="BE380" s="53">
        <v>0</v>
      </c>
      <c r="BF380" s="53">
        <f>380</f>
        <v>380</v>
      </c>
      <c r="BH380" s="53">
        <f t="shared" si="441"/>
        <v>0</v>
      </c>
      <c r="BI380" s="53">
        <f t="shared" si="442"/>
        <v>0</v>
      </c>
      <c r="BJ380" s="53">
        <f t="shared" si="443"/>
        <v>0</v>
      </c>
      <c r="BK380" s="54" t="s">
        <v>117</v>
      </c>
      <c r="BL380" s="53"/>
      <c r="BW380" s="53">
        <v>21</v>
      </c>
      <c r="BX380" s="3" t="s">
        <v>1209</v>
      </c>
    </row>
    <row r="381" spans="1:76" ht="23" x14ac:dyDescent="0.35">
      <c r="A381" s="1" t="s">
        <v>1210</v>
      </c>
      <c r="B381" s="2" t="s">
        <v>1211</v>
      </c>
      <c r="C381" s="91" t="s">
        <v>1212</v>
      </c>
      <c r="D381" s="88"/>
      <c r="E381" s="2" t="s">
        <v>365</v>
      </c>
      <c r="F381" s="53">
        <v>1</v>
      </c>
      <c r="G381" s="77">
        <v>0</v>
      </c>
      <c r="H381" s="53">
        <f t="shared" si="424"/>
        <v>0</v>
      </c>
      <c r="I381" s="79" t="s">
        <v>1688</v>
      </c>
      <c r="J381" s="49"/>
      <c r="Z381" s="53">
        <f t="shared" si="425"/>
        <v>0</v>
      </c>
      <c r="AB381" s="53">
        <f t="shared" si="426"/>
        <v>0</v>
      </c>
      <c r="AC381" s="53">
        <f t="shared" si="427"/>
        <v>0</v>
      </c>
      <c r="AD381" s="53">
        <f t="shared" si="428"/>
        <v>0</v>
      </c>
      <c r="AE381" s="53">
        <f t="shared" si="429"/>
        <v>0</v>
      </c>
      <c r="AF381" s="53">
        <f t="shared" si="430"/>
        <v>0</v>
      </c>
      <c r="AG381" s="53">
        <f t="shared" si="431"/>
        <v>0</v>
      </c>
      <c r="AH381" s="53">
        <f t="shared" si="432"/>
        <v>0</v>
      </c>
      <c r="AI381" s="36" t="s">
        <v>10</v>
      </c>
      <c r="AJ381" s="53">
        <f t="shared" si="433"/>
        <v>0</v>
      </c>
      <c r="AK381" s="53">
        <f t="shared" si="434"/>
        <v>0</v>
      </c>
      <c r="AL381" s="53">
        <f t="shared" si="435"/>
        <v>0</v>
      </c>
      <c r="AN381" s="53">
        <v>21</v>
      </c>
      <c r="AO381" s="53">
        <f>G381*0.967757038</f>
        <v>0</v>
      </c>
      <c r="AP381" s="53">
        <f>G381*(1-0.967757038)</f>
        <v>0</v>
      </c>
      <c r="AQ381" s="54" t="s">
        <v>118</v>
      </c>
      <c r="AV381" s="53">
        <f t="shared" si="436"/>
        <v>0</v>
      </c>
      <c r="AW381" s="53">
        <f t="shared" si="437"/>
        <v>0</v>
      </c>
      <c r="AX381" s="53">
        <f t="shared" si="438"/>
        <v>0</v>
      </c>
      <c r="AY381" s="54" t="s">
        <v>1078</v>
      </c>
      <c r="AZ381" s="54" t="s">
        <v>983</v>
      </c>
      <c r="BA381" s="36" t="s">
        <v>116</v>
      </c>
      <c r="BC381" s="53">
        <f t="shared" si="439"/>
        <v>0</v>
      </c>
      <c r="BD381" s="53">
        <f t="shared" si="440"/>
        <v>0</v>
      </c>
      <c r="BE381" s="53">
        <v>0</v>
      </c>
      <c r="BF381" s="53">
        <f>381</f>
        <v>381</v>
      </c>
      <c r="BH381" s="53">
        <f t="shared" si="441"/>
        <v>0</v>
      </c>
      <c r="BI381" s="53">
        <f t="shared" si="442"/>
        <v>0</v>
      </c>
      <c r="BJ381" s="53">
        <f t="shared" si="443"/>
        <v>0</v>
      </c>
      <c r="BK381" s="54" t="s">
        <v>117</v>
      </c>
      <c r="BL381" s="53"/>
      <c r="BW381" s="53">
        <v>21</v>
      </c>
      <c r="BX381" s="3" t="s">
        <v>1212</v>
      </c>
    </row>
    <row r="382" spans="1:76" ht="23" x14ac:dyDescent="0.35">
      <c r="A382" s="1" t="s">
        <v>1213</v>
      </c>
      <c r="B382" s="2" t="s">
        <v>1214</v>
      </c>
      <c r="C382" s="91" t="s">
        <v>1215</v>
      </c>
      <c r="D382" s="88"/>
      <c r="E382" s="2" t="s">
        <v>365</v>
      </c>
      <c r="F382" s="53">
        <v>1</v>
      </c>
      <c r="G382" s="77">
        <v>0</v>
      </c>
      <c r="H382" s="53">
        <f t="shared" si="424"/>
        <v>0</v>
      </c>
      <c r="I382" s="79" t="s">
        <v>1688</v>
      </c>
      <c r="J382" s="49"/>
      <c r="Z382" s="53">
        <f t="shared" si="425"/>
        <v>0</v>
      </c>
      <c r="AB382" s="53">
        <f t="shared" si="426"/>
        <v>0</v>
      </c>
      <c r="AC382" s="53">
        <f t="shared" si="427"/>
        <v>0</v>
      </c>
      <c r="AD382" s="53">
        <f t="shared" si="428"/>
        <v>0</v>
      </c>
      <c r="AE382" s="53">
        <f t="shared" si="429"/>
        <v>0</v>
      </c>
      <c r="AF382" s="53">
        <f t="shared" si="430"/>
        <v>0</v>
      </c>
      <c r="AG382" s="53">
        <f t="shared" si="431"/>
        <v>0</v>
      </c>
      <c r="AH382" s="53">
        <f t="shared" si="432"/>
        <v>0</v>
      </c>
      <c r="AI382" s="36" t="s">
        <v>10</v>
      </c>
      <c r="AJ382" s="53">
        <f t="shared" si="433"/>
        <v>0</v>
      </c>
      <c r="AK382" s="53">
        <f t="shared" si="434"/>
        <v>0</v>
      </c>
      <c r="AL382" s="53">
        <f t="shared" si="435"/>
        <v>0</v>
      </c>
      <c r="AN382" s="53">
        <v>21</v>
      </c>
      <c r="AO382" s="53">
        <f>G382*0.666679151</f>
        <v>0</v>
      </c>
      <c r="AP382" s="53">
        <f>G382*(1-0.666679151)</f>
        <v>0</v>
      </c>
      <c r="AQ382" s="54" t="s">
        <v>118</v>
      </c>
      <c r="AV382" s="53">
        <f t="shared" si="436"/>
        <v>0</v>
      </c>
      <c r="AW382" s="53">
        <f t="shared" si="437"/>
        <v>0</v>
      </c>
      <c r="AX382" s="53">
        <f t="shared" si="438"/>
        <v>0</v>
      </c>
      <c r="AY382" s="54" t="s">
        <v>1078</v>
      </c>
      <c r="AZ382" s="54" t="s">
        <v>983</v>
      </c>
      <c r="BA382" s="36" t="s">
        <v>116</v>
      </c>
      <c r="BC382" s="53">
        <f t="shared" si="439"/>
        <v>0</v>
      </c>
      <c r="BD382" s="53">
        <f t="shared" si="440"/>
        <v>0</v>
      </c>
      <c r="BE382" s="53">
        <v>0</v>
      </c>
      <c r="BF382" s="53">
        <f>382</f>
        <v>382</v>
      </c>
      <c r="BH382" s="53">
        <f t="shared" si="441"/>
        <v>0</v>
      </c>
      <c r="BI382" s="53">
        <f t="shared" si="442"/>
        <v>0</v>
      </c>
      <c r="BJ382" s="53">
        <f t="shared" si="443"/>
        <v>0</v>
      </c>
      <c r="BK382" s="54" t="s">
        <v>117</v>
      </c>
      <c r="BL382" s="53"/>
      <c r="BW382" s="53">
        <v>21</v>
      </c>
      <c r="BX382" s="3" t="s">
        <v>1215</v>
      </c>
    </row>
    <row r="383" spans="1:76" ht="23" x14ac:dyDescent="0.35">
      <c r="A383" s="1" t="s">
        <v>1216</v>
      </c>
      <c r="B383" s="2" t="s">
        <v>1217</v>
      </c>
      <c r="C383" s="91" t="s">
        <v>1218</v>
      </c>
      <c r="D383" s="88"/>
      <c r="E383" s="2" t="s">
        <v>434</v>
      </c>
      <c r="F383" s="53">
        <v>1</v>
      </c>
      <c r="G383" s="77">
        <v>0</v>
      </c>
      <c r="H383" s="53">
        <f t="shared" si="424"/>
        <v>0</v>
      </c>
      <c r="I383" s="79" t="s">
        <v>1688</v>
      </c>
      <c r="J383" s="49"/>
      <c r="Z383" s="53">
        <f t="shared" si="425"/>
        <v>0</v>
      </c>
      <c r="AB383" s="53">
        <f t="shared" si="426"/>
        <v>0</v>
      </c>
      <c r="AC383" s="53">
        <f t="shared" si="427"/>
        <v>0</v>
      </c>
      <c r="AD383" s="53">
        <f t="shared" si="428"/>
        <v>0</v>
      </c>
      <c r="AE383" s="53">
        <f t="shared" si="429"/>
        <v>0</v>
      </c>
      <c r="AF383" s="53">
        <f t="shared" si="430"/>
        <v>0</v>
      </c>
      <c r="AG383" s="53">
        <f t="shared" si="431"/>
        <v>0</v>
      </c>
      <c r="AH383" s="53">
        <f t="shared" si="432"/>
        <v>0</v>
      </c>
      <c r="AI383" s="36" t="s">
        <v>10</v>
      </c>
      <c r="AJ383" s="53">
        <f t="shared" si="433"/>
        <v>0</v>
      </c>
      <c r="AK383" s="53">
        <f t="shared" si="434"/>
        <v>0</v>
      </c>
      <c r="AL383" s="53">
        <f t="shared" si="435"/>
        <v>0</v>
      </c>
      <c r="AN383" s="53">
        <v>21</v>
      </c>
      <c r="AO383" s="53">
        <f>G383*0.918220446</f>
        <v>0</v>
      </c>
      <c r="AP383" s="53">
        <f>G383*(1-0.918220446)</f>
        <v>0</v>
      </c>
      <c r="AQ383" s="54" t="s">
        <v>118</v>
      </c>
      <c r="AV383" s="53">
        <f t="shared" si="436"/>
        <v>0</v>
      </c>
      <c r="AW383" s="53">
        <f t="shared" si="437"/>
        <v>0</v>
      </c>
      <c r="AX383" s="53">
        <f t="shared" si="438"/>
        <v>0</v>
      </c>
      <c r="AY383" s="54" t="s">
        <v>1078</v>
      </c>
      <c r="AZ383" s="54" t="s">
        <v>983</v>
      </c>
      <c r="BA383" s="36" t="s">
        <v>116</v>
      </c>
      <c r="BC383" s="53">
        <f t="shared" si="439"/>
        <v>0</v>
      </c>
      <c r="BD383" s="53">
        <f t="shared" si="440"/>
        <v>0</v>
      </c>
      <c r="BE383" s="53">
        <v>0</v>
      </c>
      <c r="BF383" s="53">
        <f>383</f>
        <v>383</v>
      </c>
      <c r="BH383" s="53">
        <f t="shared" si="441"/>
        <v>0</v>
      </c>
      <c r="BI383" s="53">
        <f t="shared" si="442"/>
        <v>0</v>
      </c>
      <c r="BJ383" s="53">
        <f t="shared" si="443"/>
        <v>0</v>
      </c>
      <c r="BK383" s="54" t="s">
        <v>117</v>
      </c>
      <c r="BL383" s="53"/>
      <c r="BW383" s="53">
        <v>21</v>
      </c>
      <c r="BX383" s="3" t="s">
        <v>1218</v>
      </c>
    </row>
    <row r="384" spans="1:76" ht="23" x14ac:dyDescent="0.35">
      <c r="A384" s="1" t="s">
        <v>1219</v>
      </c>
      <c r="B384" s="2" t="s">
        <v>1220</v>
      </c>
      <c r="C384" s="91" t="s">
        <v>1221</v>
      </c>
      <c r="D384" s="88"/>
      <c r="E384" s="2" t="s">
        <v>434</v>
      </c>
      <c r="F384" s="53">
        <v>1</v>
      </c>
      <c r="G384" s="77">
        <v>0</v>
      </c>
      <c r="H384" s="53">
        <f t="shared" si="424"/>
        <v>0</v>
      </c>
      <c r="I384" s="79" t="s">
        <v>1688</v>
      </c>
      <c r="J384" s="49"/>
      <c r="Z384" s="53">
        <f t="shared" si="425"/>
        <v>0</v>
      </c>
      <c r="AB384" s="53">
        <f t="shared" si="426"/>
        <v>0</v>
      </c>
      <c r="AC384" s="53">
        <f t="shared" si="427"/>
        <v>0</v>
      </c>
      <c r="AD384" s="53">
        <f t="shared" si="428"/>
        <v>0</v>
      </c>
      <c r="AE384" s="53">
        <f t="shared" si="429"/>
        <v>0</v>
      </c>
      <c r="AF384" s="53">
        <f t="shared" si="430"/>
        <v>0</v>
      </c>
      <c r="AG384" s="53">
        <f t="shared" si="431"/>
        <v>0</v>
      </c>
      <c r="AH384" s="53">
        <f t="shared" si="432"/>
        <v>0</v>
      </c>
      <c r="AI384" s="36" t="s">
        <v>10</v>
      </c>
      <c r="AJ384" s="53">
        <f t="shared" si="433"/>
        <v>0</v>
      </c>
      <c r="AK384" s="53">
        <f t="shared" si="434"/>
        <v>0</v>
      </c>
      <c r="AL384" s="53">
        <f t="shared" si="435"/>
        <v>0</v>
      </c>
      <c r="AN384" s="53">
        <v>21</v>
      </c>
      <c r="AO384" s="53">
        <f>G384*0.833336038</f>
        <v>0</v>
      </c>
      <c r="AP384" s="53">
        <f>G384*(1-0.833336038)</f>
        <v>0</v>
      </c>
      <c r="AQ384" s="54" t="s">
        <v>118</v>
      </c>
      <c r="AV384" s="53">
        <f t="shared" si="436"/>
        <v>0</v>
      </c>
      <c r="AW384" s="53">
        <f t="shared" si="437"/>
        <v>0</v>
      </c>
      <c r="AX384" s="53">
        <f t="shared" si="438"/>
        <v>0</v>
      </c>
      <c r="AY384" s="54" t="s">
        <v>1078</v>
      </c>
      <c r="AZ384" s="54" t="s">
        <v>983</v>
      </c>
      <c r="BA384" s="36" t="s">
        <v>116</v>
      </c>
      <c r="BC384" s="53">
        <f t="shared" si="439"/>
        <v>0</v>
      </c>
      <c r="BD384" s="53">
        <f t="shared" si="440"/>
        <v>0</v>
      </c>
      <c r="BE384" s="53">
        <v>0</v>
      </c>
      <c r="BF384" s="53">
        <f>384</f>
        <v>384</v>
      </c>
      <c r="BH384" s="53">
        <f t="shared" si="441"/>
        <v>0</v>
      </c>
      <c r="BI384" s="53">
        <f t="shared" si="442"/>
        <v>0</v>
      </c>
      <c r="BJ384" s="53">
        <f t="shared" si="443"/>
        <v>0</v>
      </c>
      <c r="BK384" s="54" t="s">
        <v>117</v>
      </c>
      <c r="BL384" s="53"/>
      <c r="BW384" s="53">
        <v>21</v>
      </c>
      <c r="BX384" s="3" t="s">
        <v>1221</v>
      </c>
    </row>
    <row r="385" spans="1:76" ht="23" x14ac:dyDescent="0.35">
      <c r="A385" s="1" t="s">
        <v>1222</v>
      </c>
      <c r="B385" s="2" t="s">
        <v>1223</v>
      </c>
      <c r="C385" s="91" t="s">
        <v>1224</v>
      </c>
      <c r="D385" s="88"/>
      <c r="E385" s="2" t="s">
        <v>424</v>
      </c>
      <c r="F385" s="53">
        <v>1</v>
      </c>
      <c r="G385" s="77">
        <v>0</v>
      </c>
      <c r="H385" s="53">
        <f t="shared" si="424"/>
        <v>0</v>
      </c>
      <c r="I385" s="79" t="s">
        <v>1688</v>
      </c>
      <c r="J385" s="49"/>
      <c r="Z385" s="53">
        <f t="shared" si="425"/>
        <v>0</v>
      </c>
      <c r="AB385" s="53">
        <f t="shared" si="426"/>
        <v>0</v>
      </c>
      <c r="AC385" s="53">
        <f t="shared" si="427"/>
        <v>0</v>
      </c>
      <c r="AD385" s="53">
        <f t="shared" si="428"/>
        <v>0</v>
      </c>
      <c r="AE385" s="53">
        <f t="shared" si="429"/>
        <v>0</v>
      </c>
      <c r="AF385" s="53">
        <f t="shared" si="430"/>
        <v>0</v>
      </c>
      <c r="AG385" s="53">
        <f t="shared" si="431"/>
        <v>0</v>
      </c>
      <c r="AH385" s="53">
        <f t="shared" si="432"/>
        <v>0</v>
      </c>
      <c r="AI385" s="36" t="s">
        <v>10</v>
      </c>
      <c r="AJ385" s="53">
        <f t="shared" si="433"/>
        <v>0</v>
      </c>
      <c r="AK385" s="53">
        <f t="shared" si="434"/>
        <v>0</v>
      </c>
      <c r="AL385" s="53">
        <f t="shared" si="435"/>
        <v>0</v>
      </c>
      <c r="AN385" s="53">
        <v>21</v>
      </c>
      <c r="AO385" s="53">
        <f>G385*0</f>
        <v>0</v>
      </c>
      <c r="AP385" s="53">
        <f>G385*(1-0)</f>
        <v>0</v>
      </c>
      <c r="AQ385" s="54" t="s">
        <v>118</v>
      </c>
      <c r="AV385" s="53">
        <f t="shared" si="436"/>
        <v>0</v>
      </c>
      <c r="AW385" s="53">
        <f t="shared" si="437"/>
        <v>0</v>
      </c>
      <c r="AX385" s="53">
        <f t="shared" si="438"/>
        <v>0</v>
      </c>
      <c r="AY385" s="54" t="s">
        <v>1078</v>
      </c>
      <c r="AZ385" s="54" t="s">
        <v>983</v>
      </c>
      <c r="BA385" s="36" t="s">
        <v>116</v>
      </c>
      <c r="BC385" s="53">
        <f t="shared" si="439"/>
        <v>0</v>
      </c>
      <c r="BD385" s="53">
        <f t="shared" si="440"/>
        <v>0</v>
      </c>
      <c r="BE385" s="53">
        <v>0</v>
      </c>
      <c r="BF385" s="53">
        <f>385</f>
        <v>385</v>
      </c>
      <c r="BH385" s="53">
        <f t="shared" si="441"/>
        <v>0</v>
      </c>
      <c r="BI385" s="53">
        <f t="shared" si="442"/>
        <v>0</v>
      </c>
      <c r="BJ385" s="53">
        <f t="shared" si="443"/>
        <v>0</v>
      </c>
      <c r="BK385" s="54" t="s">
        <v>117</v>
      </c>
      <c r="BL385" s="53"/>
      <c r="BW385" s="53">
        <v>21</v>
      </c>
      <c r="BX385" s="3" t="s">
        <v>1224</v>
      </c>
    </row>
    <row r="386" spans="1:76" ht="23" x14ac:dyDescent="0.35">
      <c r="A386" s="1" t="s">
        <v>1225</v>
      </c>
      <c r="B386" s="2" t="s">
        <v>1226</v>
      </c>
      <c r="C386" s="91" t="s">
        <v>1227</v>
      </c>
      <c r="D386" s="88"/>
      <c r="E386" s="2" t="s">
        <v>424</v>
      </c>
      <c r="F386" s="53">
        <v>1</v>
      </c>
      <c r="G386" s="77">
        <v>0</v>
      </c>
      <c r="H386" s="53">
        <f t="shared" si="424"/>
        <v>0</v>
      </c>
      <c r="I386" s="79" t="s">
        <v>1688</v>
      </c>
      <c r="J386" s="49"/>
      <c r="Z386" s="53">
        <f t="shared" si="425"/>
        <v>0</v>
      </c>
      <c r="AB386" s="53">
        <f t="shared" si="426"/>
        <v>0</v>
      </c>
      <c r="AC386" s="53">
        <f t="shared" si="427"/>
        <v>0</v>
      </c>
      <c r="AD386" s="53">
        <f t="shared" si="428"/>
        <v>0</v>
      </c>
      <c r="AE386" s="53">
        <f t="shared" si="429"/>
        <v>0</v>
      </c>
      <c r="AF386" s="53">
        <f t="shared" si="430"/>
        <v>0</v>
      </c>
      <c r="AG386" s="53">
        <f t="shared" si="431"/>
        <v>0</v>
      </c>
      <c r="AH386" s="53">
        <f t="shared" si="432"/>
        <v>0</v>
      </c>
      <c r="AI386" s="36" t="s">
        <v>10</v>
      </c>
      <c r="AJ386" s="53">
        <f t="shared" si="433"/>
        <v>0</v>
      </c>
      <c r="AK386" s="53">
        <f t="shared" si="434"/>
        <v>0</v>
      </c>
      <c r="AL386" s="53">
        <f t="shared" si="435"/>
        <v>0</v>
      </c>
      <c r="AN386" s="53">
        <v>21</v>
      </c>
      <c r="AO386" s="53">
        <f>G386*0.100099197</f>
        <v>0</v>
      </c>
      <c r="AP386" s="53">
        <f>G386*(1-0.100099197)</f>
        <v>0</v>
      </c>
      <c r="AQ386" s="54" t="s">
        <v>118</v>
      </c>
      <c r="AV386" s="53">
        <f t="shared" si="436"/>
        <v>0</v>
      </c>
      <c r="AW386" s="53">
        <f t="shared" si="437"/>
        <v>0</v>
      </c>
      <c r="AX386" s="53">
        <f t="shared" si="438"/>
        <v>0</v>
      </c>
      <c r="AY386" s="54" t="s">
        <v>1078</v>
      </c>
      <c r="AZ386" s="54" t="s">
        <v>983</v>
      </c>
      <c r="BA386" s="36" t="s">
        <v>116</v>
      </c>
      <c r="BC386" s="53">
        <f t="shared" si="439"/>
        <v>0</v>
      </c>
      <c r="BD386" s="53">
        <f t="shared" si="440"/>
        <v>0</v>
      </c>
      <c r="BE386" s="53">
        <v>0</v>
      </c>
      <c r="BF386" s="53">
        <f>386</f>
        <v>386</v>
      </c>
      <c r="BH386" s="53">
        <f t="shared" si="441"/>
        <v>0</v>
      </c>
      <c r="BI386" s="53">
        <f t="shared" si="442"/>
        <v>0</v>
      </c>
      <c r="BJ386" s="53">
        <f t="shared" si="443"/>
        <v>0</v>
      </c>
      <c r="BK386" s="54" t="s">
        <v>117</v>
      </c>
      <c r="BL386" s="53"/>
      <c r="BW386" s="53">
        <v>21</v>
      </c>
      <c r="BX386" s="3" t="s">
        <v>1227</v>
      </c>
    </row>
    <row r="387" spans="1:76" ht="23" x14ac:dyDescent="0.35">
      <c r="A387" s="1" t="s">
        <v>1228</v>
      </c>
      <c r="B387" s="2" t="s">
        <v>1229</v>
      </c>
      <c r="C387" s="91" t="s">
        <v>1230</v>
      </c>
      <c r="D387" s="88"/>
      <c r="E387" s="2" t="s">
        <v>424</v>
      </c>
      <c r="F387" s="53">
        <v>0</v>
      </c>
      <c r="G387" s="77">
        <v>0</v>
      </c>
      <c r="H387" s="53">
        <f t="shared" si="424"/>
        <v>0</v>
      </c>
      <c r="I387" s="79" t="s">
        <v>1688</v>
      </c>
      <c r="J387" s="49"/>
      <c r="Z387" s="53">
        <f t="shared" si="425"/>
        <v>0</v>
      </c>
      <c r="AB387" s="53">
        <f t="shared" si="426"/>
        <v>0</v>
      </c>
      <c r="AC387" s="53">
        <f t="shared" si="427"/>
        <v>0</v>
      </c>
      <c r="AD387" s="53">
        <f t="shared" si="428"/>
        <v>0</v>
      </c>
      <c r="AE387" s="53">
        <f t="shared" si="429"/>
        <v>0</v>
      </c>
      <c r="AF387" s="53">
        <f t="shared" si="430"/>
        <v>0</v>
      </c>
      <c r="AG387" s="53">
        <f t="shared" si="431"/>
        <v>0</v>
      </c>
      <c r="AH387" s="53">
        <f t="shared" si="432"/>
        <v>0</v>
      </c>
      <c r="AI387" s="36" t="s">
        <v>10</v>
      </c>
      <c r="AJ387" s="53">
        <f t="shared" si="433"/>
        <v>0</v>
      </c>
      <c r="AK387" s="53">
        <f t="shared" si="434"/>
        <v>0</v>
      </c>
      <c r="AL387" s="53">
        <f t="shared" si="435"/>
        <v>0</v>
      </c>
      <c r="AN387" s="53">
        <v>21</v>
      </c>
      <c r="AO387" s="53">
        <f>G387*0</f>
        <v>0</v>
      </c>
      <c r="AP387" s="53">
        <f>G387*(1-0)</f>
        <v>0</v>
      </c>
      <c r="AQ387" s="54" t="s">
        <v>118</v>
      </c>
      <c r="AV387" s="53">
        <f t="shared" si="436"/>
        <v>0</v>
      </c>
      <c r="AW387" s="53">
        <f t="shared" si="437"/>
        <v>0</v>
      </c>
      <c r="AX387" s="53">
        <f t="shared" si="438"/>
        <v>0</v>
      </c>
      <c r="AY387" s="54" t="s">
        <v>1078</v>
      </c>
      <c r="AZ387" s="54" t="s">
        <v>983</v>
      </c>
      <c r="BA387" s="36" t="s">
        <v>116</v>
      </c>
      <c r="BC387" s="53">
        <f t="shared" si="439"/>
        <v>0</v>
      </c>
      <c r="BD387" s="53">
        <f t="shared" si="440"/>
        <v>0</v>
      </c>
      <c r="BE387" s="53">
        <v>0</v>
      </c>
      <c r="BF387" s="53">
        <f>387</f>
        <v>387</v>
      </c>
      <c r="BH387" s="53">
        <f t="shared" si="441"/>
        <v>0</v>
      </c>
      <c r="BI387" s="53">
        <f t="shared" si="442"/>
        <v>0</v>
      </c>
      <c r="BJ387" s="53">
        <f t="shared" si="443"/>
        <v>0</v>
      </c>
      <c r="BK387" s="54" t="s">
        <v>117</v>
      </c>
      <c r="BL387" s="53"/>
      <c r="BW387" s="53">
        <v>21</v>
      </c>
      <c r="BX387" s="3" t="s">
        <v>1230</v>
      </c>
    </row>
    <row r="388" spans="1:76" ht="14.5" x14ac:dyDescent="0.35">
      <c r="A388" s="50" t="s">
        <v>10</v>
      </c>
      <c r="B388" s="51" t="s">
        <v>1231</v>
      </c>
      <c r="C388" s="172" t="s">
        <v>1232</v>
      </c>
      <c r="D388" s="173"/>
      <c r="E388" s="52" t="s">
        <v>75</v>
      </c>
      <c r="F388" s="52" t="s">
        <v>75</v>
      </c>
      <c r="G388" s="52" t="s">
        <v>75</v>
      </c>
      <c r="H388" s="28">
        <f>SUM(H389:H408)</f>
        <v>0</v>
      </c>
      <c r="I388" s="36" t="s">
        <v>10</v>
      </c>
      <c r="J388" s="49"/>
      <c r="AI388" s="36" t="s">
        <v>10</v>
      </c>
      <c r="AS388" s="28">
        <f>SUM(AJ389:AJ408)</f>
        <v>0</v>
      </c>
      <c r="AT388" s="28">
        <f>SUM(AK389:AK408)</f>
        <v>0</v>
      </c>
      <c r="AU388" s="28">
        <f>SUM(AL389:AL408)</f>
        <v>0</v>
      </c>
    </row>
    <row r="389" spans="1:76" ht="23" x14ac:dyDescent="0.35">
      <c r="A389" s="1" t="s">
        <v>1233</v>
      </c>
      <c r="B389" s="2" t="s">
        <v>1234</v>
      </c>
      <c r="C389" s="91" t="s">
        <v>1235</v>
      </c>
      <c r="D389" s="88"/>
      <c r="E389" s="2" t="s">
        <v>434</v>
      </c>
      <c r="F389" s="53">
        <v>1</v>
      </c>
      <c r="G389" s="77">
        <v>0</v>
      </c>
      <c r="H389" s="53">
        <f t="shared" ref="H389:H408" si="444">ROUND(F389*G389,2)</f>
        <v>0</v>
      </c>
      <c r="I389" s="79" t="s">
        <v>1688</v>
      </c>
      <c r="J389" s="49"/>
      <c r="Z389" s="53">
        <f t="shared" ref="Z389:Z408" si="445">ROUND(IF(AQ389="5",BJ389,0),2)</f>
        <v>0</v>
      </c>
      <c r="AB389" s="53">
        <f t="shared" ref="AB389:AB408" si="446">ROUND(IF(AQ389="1",BH389,0),2)</f>
        <v>0</v>
      </c>
      <c r="AC389" s="53">
        <f t="shared" ref="AC389:AC408" si="447">ROUND(IF(AQ389="1",BI389,0),2)</f>
        <v>0</v>
      </c>
      <c r="AD389" s="53">
        <f t="shared" ref="AD389:AD408" si="448">ROUND(IF(AQ389="7",BH389,0),2)</f>
        <v>0</v>
      </c>
      <c r="AE389" s="53">
        <f t="shared" ref="AE389:AE408" si="449">ROUND(IF(AQ389="7",BI389,0),2)</f>
        <v>0</v>
      </c>
      <c r="AF389" s="53">
        <f t="shared" ref="AF389:AF408" si="450">ROUND(IF(AQ389="2",BH389,0),2)</f>
        <v>0</v>
      </c>
      <c r="AG389" s="53">
        <f t="shared" ref="AG389:AG408" si="451">ROUND(IF(AQ389="2",BI389,0),2)</f>
        <v>0</v>
      </c>
      <c r="AH389" s="53">
        <f t="shared" ref="AH389:AH408" si="452">ROUND(IF(AQ389="0",BJ389,0),2)</f>
        <v>0</v>
      </c>
      <c r="AI389" s="36" t="s">
        <v>10</v>
      </c>
      <c r="AJ389" s="53">
        <f t="shared" ref="AJ389:AJ408" si="453">IF(AN389=0,H389,0)</f>
        <v>0</v>
      </c>
      <c r="AK389" s="53">
        <f t="shared" ref="AK389:AK408" si="454">IF(AN389=12,H389,0)</f>
        <v>0</v>
      </c>
      <c r="AL389" s="53">
        <f t="shared" ref="AL389:AL408" si="455">IF(AN389=21,H389,0)</f>
        <v>0</v>
      </c>
      <c r="AN389" s="53">
        <v>21</v>
      </c>
      <c r="AO389" s="53">
        <f>G389*0.833347378</f>
        <v>0</v>
      </c>
      <c r="AP389" s="53">
        <f>G389*(1-0.833347378)</f>
        <v>0</v>
      </c>
      <c r="AQ389" s="54" t="s">
        <v>118</v>
      </c>
      <c r="AV389" s="53">
        <f t="shared" ref="AV389:AV408" si="456">ROUND(AW389+AX389,2)</f>
        <v>0</v>
      </c>
      <c r="AW389" s="53">
        <f t="shared" ref="AW389:AW408" si="457">ROUND(F389*AO389,2)</f>
        <v>0</v>
      </c>
      <c r="AX389" s="53">
        <f t="shared" ref="AX389:AX408" si="458">ROUND(F389*AP389,2)</f>
        <v>0</v>
      </c>
      <c r="AY389" s="54" t="s">
        <v>1236</v>
      </c>
      <c r="AZ389" s="54" t="s">
        <v>983</v>
      </c>
      <c r="BA389" s="36" t="s">
        <v>116</v>
      </c>
      <c r="BC389" s="53">
        <f t="shared" ref="BC389:BC408" si="459">AW389+AX389</f>
        <v>0</v>
      </c>
      <c r="BD389" s="53">
        <f t="shared" ref="BD389:BD408" si="460">G389/(100-BE389)*100</f>
        <v>0</v>
      </c>
      <c r="BE389" s="53">
        <v>0</v>
      </c>
      <c r="BF389" s="53">
        <f>389</f>
        <v>389</v>
      </c>
      <c r="BH389" s="53">
        <f t="shared" ref="BH389:BH408" si="461">F389*AO389</f>
        <v>0</v>
      </c>
      <c r="BI389" s="53">
        <f t="shared" ref="BI389:BI408" si="462">F389*AP389</f>
        <v>0</v>
      </c>
      <c r="BJ389" s="53">
        <f t="shared" ref="BJ389:BJ408" si="463">F389*G389</f>
        <v>0</v>
      </c>
      <c r="BK389" s="54" t="s">
        <v>117</v>
      </c>
      <c r="BL389" s="53"/>
      <c r="BW389" s="53">
        <v>21</v>
      </c>
      <c r="BX389" s="3" t="s">
        <v>1235</v>
      </c>
    </row>
    <row r="390" spans="1:76" ht="23" x14ac:dyDescent="0.35">
      <c r="A390" s="1" t="s">
        <v>1237</v>
      </c>
      <c r="B390" s="2" t="s">
        <v>1238</v>
      </c>
      <c r="C390" s="91" t="s">
        <v>1239</v>
      </c>
      <c r="D390" s="88"/>
      <c r="E390" s="2" t="s">
        <v>121</v>
      </c>
      <c r="F390" s="53">
        <v>1</v>
      </c>
      <c r="G390" s="77">
        <v>0</v>
      </c>
      <c r="H390" s="53">
        <f t="shared" si="444"/>
        <v>0</v>
      </c>
      <c r="I390" s="79" t="s">
        <v>1688</v>
      </c>
      <c r="J390" s="49"/>
      <c r="Z390" s="53">
        <f t="shared" si="445"/>
        <v>0</v>
      </c>
      <c r="AB390" s="53">
        <f t="shared" si="446"/>
        <v>0</v>
      </c>
      <c r="AC390" s="53">
        <f t="shared" si="447"/>
        <v>0</v>
      </c>
      <c r="AD390" s="53">
        <f t="shared" si="448"/>
        <v>0</v>
      </c>
      <c r="AE390" s="53">
        <f t="shared" si="449"/>
        <v>0</v>
      </c>
      <c r="AF390" s="53">
        <f t="shared" si="450"/>
        <v>0</v>
      </c>
      <c r="AG390" s="53">
        <f t="shared" si="451"/>
        <v>0</v>
      </c>
      <c r="AH390" s="53">
        <f t="shared" si="452"/>
        <v>0</v>
      </c>
      <c r="AI390" s="36" t="s">
        <v>10</v>
      </c>
      <c r="AJ390" s="53">
        <f t="shared" si="453"/>
        <v>0</v>
      </c>
      <c r="AK390" s="53">
        <f t="shared" si="454"/>
        <v>0</v>
      </c>
      <c r="AL390" s="53">
        <f t="shared" si="455"/>
        <v>0</v>
      </c>
      <c r="AN390" s="53">
        <v>21</v>
      </c>
      <c r="AO390" s="53">
        <f>G390*0.17241573</f>
        <v>0</v>
      </c>
      <c r="AP390" s="53">
        <f>G390*(1-0.17241573)</f>
        <v>0</v>
      </c>
      <c r="AQ390" s="54" t="s">
        <v>118</v>
      </c>
      <c r="AV390" s="53">
        <f t="shared" si="456"/>
        <v>0</v>
      </c>
      <c r="AW390" s="53">
        <f t="shared" si="457"/>
        <v>0</v>
      </c>
      <c r="AX390" s="53">
        <f t="shared" si="458"/>
        <v>0</v>
      </c>
      <c r="AY390" s="54" t="s">
        <v>1236</v>
      </c>
      <c r="AZ390" s="54" t="s">
        <v>983</v>
      </c>
      <c r="BA390" s="36" t="s">
        <v>116</v>
      </c>
      <c r="BC390" s="53">
        <f t="shared" si="459"/>
        <v>0</v>
      </c>
      <c r="BD390" s="53">
        <f t="shared" si="460"/>
        <v>0</v>
      </c>
      <c r="BE390" s="53">
        <v>0</v>
      </c>
      <c r="BF390" s="53">
        <f>390</f>
        <v>390</v>
      </c>
      <c r="BH390" s="53">
        <f t="shared" si="461"/>
        <v>0</v>
      </c>
      <c r="BI390" s="53">
        <f t="shared" si="462"/>
        <v>0</v>
      </c>
      <c r="BJ390" s="53">
        <f t="shared" si="463"/>
        <v>0</v>
      </c>
      <c r="BK390" s="54" t="s">
        <v>117</v>
      </c>
      <c r="BL390" s="53"/>
      <c r="BW390" s="53">
        <v>21</v>
      </c>
      <c r="BX390" s="3" t="s">
        <v>1239</v>
      </c>
    </row>
    <row r="391" spans="1:76" ht="23" x14ac:dyDescent="0.35">
      <c r="A391" s="1" t="s">
        <v>1240</v>
      </c>
      <c r="B391" s="2" t="s">
        <v>1241</v>
      </c>
      <c r="C391" s="91" t="s">
        <v>1242</v>
      </c>
      <c r="D391" s="88"/>
      <c r="E391" s="2" t="s">
        <v>434</v>
      </c>
      <c r="F391" s="53">
        <v>12</v>
      </c>
      <c r="G391" s="77">
        <v>0</v>
      </c>
      <c r="H391" s="53">
        <f t="shared" si="444"/>
        <v>0</v>
      </c>
      <c r="I391" s="79" t="s">
        <v>1688</v>
      </c>
      <c r="J391" s="49"/>
      <c r="Z391" s="53">
        <f t="shared" si="445"/>
        <v>0</v>
      </c>
      <c r="AB391" s="53">
        <f t="shared" si="446"/>
        <v>0</v>
      </c>
      <c r="AC391" s="53">
        <f t="shared" si="447"/>
        <v>0</v>
      </c>
      <c r="AD391" s="53">
        <f t="shared" si="448"/>
        <v>0</v>
      </c>
      <c r="AE391" s="53">
        <f t="shared" si="449"/>
        <v>0</v>
      </c>
      <c r="AF391" s="53">
        <f t="shared" si="450"/>
        <v>0</v>
      </c>
      <c r="AG391" s="53">
        <f t="shared" si="451"/>
        <v>0</v>
      </c>
      <c r="AH391" s="53">
        <f t="shared" si="452"/>
        <v>0</v>
      </c>
      <c r="AI391" s="36" t="s">
        <v>10</v>
      </c>
      <c r="AJ391" s="53">
        <f t="shared" si="453"/>
        <v>0</v>
      </c>
      <c r="AK391" s="53">
        <f t="shared" si="454"/>
        <v>0</v>
      </c>
      <c r="AL391" s="53">
        <f t="shared" si="455"/>
        <v>0</v>
      </c>
      <c r="AN391" s="53">
        <v>21</v>
      </c>
      <c r="AO391" s="53">
        <f>G391*0.142848863</f>
        <v>0</v>
      </c>
      <c r="AP391" s="53">
        <f>G391*(1-0.142848863)</f>
        <v>0</v>
      </c>
      <c r="AQ391" s="54" t="s">
        <v>118</v>
      </c>
      <c r="AV391" s="53">
        <f t="shared" si="456"/>
        <v>0</v>
      </c>
      <c r="AW391" s="53">
        <f t="shared" si="457"/>
        <v>0</v>
      </c>
      <c r="AX391" s="53">
        <f t="shared" si="458"/>
        <v>0</v>
      </c>
      <c r="AY391" s="54" t="s">
        <v>1236</v>
      </c>
      <c r="AZ391" s="54" t="s">
        <v>983</v>
      </c>
      <c r="BA391" s="36" t="s">
        <v>116</v>
      </c>
      <c r="BC391" s="53">
        <f t="shared" si="459"/>
        <v>0</v>
      </c>
      <c r="BD391" s="53">
        <f t="shared" si="460"/>
        <v>0</v>
      </c>
      <c r="BE391" s="53">
        <v>0</v>
      </c>
      <c r="BF391" s="53">
        <f>391</f>
        <v>391</v>
      </c>
      <c r="BH391" s="53">
        <f t="shared" si="461"/>
        <v>0</v>
      </c>
      <c r="BI391" s="53">
        <f t="shared" si="462"/>
        <v>0</v>
      </c>
      <c r="BJ391" s="53">
        <f t="shared" si="463"/>
        <v>0</v>
      </c>
      <c r="BK391" s="54" t="s">
        <v>117</v>
      </c>
      <c r="BL391" s="53"/>
      <c r="BW391" s="53">
        <v>21</v>
      </c>
      <c r="BX391" s="3" t="s">
        <v>1242</v>
      </c>
    </row>
    <row r="392" spans="1:76" ht="23" x14ac:dyDescent="0.35">
      <c r="A392" s="1" t="s">
        <v>1243</v>
      </c>
      <c r="B392" s="2" t="s">
        <v>1244</v>
      </c>
      <c r="C392" s="91" t="s">
        <v>1245</v>
      </c>
      <c r="D392" s="88"/>
      <c r="E392" s="2" t="s">
        <v>137</v>
      </c>
      <c r="F392" s="53">
        <v>526</v>
      </c>
      <c r="G392" s="77">
        <v>0</v>
      </c>
      <c r="H392" s="53">
        <f t="shared" si="444"/>
        <v>0</v>
      </c>
      <c r="I392" s="79" t="s">
        <v>1688</v>
      </c>
      <c r="J392" s="49"/>
      <c r="Z392" s="53">
        <f t="shared" si="445"/>
        <v>0</v>
      </c>
      <c r="AB392" s="53">
        <f t="shared" si="446"/>
        <v>0</v>
      </c>
      <c r="AC392" s="53">
        <f t="shared" si="447"/>
        <v>0</v>
      </c>
      <c r="AD392" s="53">
        <f t="shared" si="448"/>
        <v>0</v>
      </c>
      <c r="AE392" s="53">
        <f t="shared" si="449"/>
        <v>0</v>
      </c>
      <c r="AF392" s="53">
        <f t="shared" si="450"/>
        <v>0</v>
      </c>
      <c r="AG392" s="53">
        <f t="shared" si="451"/>
        <v>0</v>
      </c>
      <c r="AH392" s="53">
        <f t="shared" si="452"/>
        <v>0</v>
      </c>
      <c r="AI392" s="36" t="s">
        <v>10</v>
      </c>
      <c r="AJ392" s="53">
        <f t="shared" si="453"/>
        <v>0</v>
      </c>
      <c r="AK392" s="53">
        <f t="shared" si="454"/>
        <v>0</v>
      </c>
      <c r="AL392" s="53">
        <f t="shared" si="455"/>
        <v>0</v>
      </c>
      <c r="AN392" s="53">
        <v>21</v>
      </c>
      <c r="AO392" s="53">
        <f>G392*0.538453828</f>
        <v>0</v>
      </c>
      <c r="AP392" s="53">
        <f>G392*(1-0.538453828)</f>
        <v>0</v>
      </c>
      <c r="AQ392" s="54" t="s">
        <v>118</v>
      </c>
      <c r="AV392" s="53">
        <f t="shared" si="456"/>
        <v>0</v>
      </c>
      <c r="AW392" s="53">
        <f t="shared" si="457"/>
        <v>0</v>
      </c>
      <c r="AX392" s="53">
        <f t="shared" si="458"/>
        <v>0</v>
      </c>
      <c r="AY392" s="54" t="s">
        <v>1236</v>
      </c>
      <c r="AZ392" s="54" t="s">
        <v>983</v>
      </c>
      <c r="BA392" s="36" t="s">
        <v>116</v>
      </c>
      <c r="BC392" s="53">
        <f t="shared" si="459"/>
        <v>0</v>
      </c>
      <c r="BD392" s="53">
        <f t="shared" si="460"/>
        <v>0</v>
      </c>
      <c r="BE392" s="53">
        <v>0</v>
      </c>
      <c r="BF392" s="53">
        <f>392</f>
        <v>392</v>
      </c>
      <c r="BH392" s="53">
        <f t="shared" si="461"/>
        <v>0</v>
      </c>
      <c r="BI392" s="53">
        <f t="shared" si="462"/>
        <v>0</v>
      </c>
      <c r="BJ392" s="53">
        <f t="shared" si="463"/>
        <v>0</v>
      </c>
      <c r="BK392" s="54" t="s">
        <v>117</v>
      </c>
      <c r="BL392" s="53"/>
      <c r="BW392" s="53">
        <v>21</v>
      </c>
      <c r="BX392" s="3" t="s">
        <v>1245</v>
      </c>
    </row>
    <row r="393" spans="1:76" ht="23" x14ac:dyDescent="0.35">
      <c r="A393" s="1" t="s">
        <v>1246</v>
      </c>
      <c r="B393" s="2" t="s">
        <v>1247</v>
      </c>
      <c r="C393" s="91" t="s">
        <v>1248</v>
      </c>
      <c r="D393" s="88"/>
      <c r="E393" s="2" t="s">
        <v>121</v>
      </c>
      <c r="F393" s="53">
        <v>1</v>
      </c>
      <c r="G393" s="77">
        <v>0</v>
      </c>
      <c r="H393" s="53">
        <f t="shared" si="444"/>
        <v>0</v>
      </c>
      <c r="I393" s="79" t="s">
        <v>1688</v>
      </c>
      <c r="J393" s="49"/>
      <c r="Z393" s="53">
        <f t="shared" si="445"/>
        <v>0</v>
      </c>
      <c r="AB393" s="53">
        <f t="shared" si="446"/>
        <v>0</v>
      </c>
      <c r="AC393" s="53">
        <f t="shared" si="447"/>
        <v>0</v>
      </c>
      <c r="AD393" s="53">
        <f t="shared" si="448"/>
        <v>0</v>
      </c>
      <c r="AE393" s="53">
        <f t="shared" si="449"/>
        <v>0</v>
      </c>
      <c r="AF393" s="53">
        <f t="shared" si="450"/>
        <v>0</v>
      </c>
      <c r="AG393" s="53">
        <f t="shared" si="451"/>
        <v>0</v>
      </c>
      <c r="AH393" s="53">
        <f t="shared" si="452"/>
        <v>0</v>
      </c>
      <c r="AI393" s="36" t="s">
        <v>10</v>
      </c>
      <c r="AJ393" s="53">
        <f t="shared" si="453"/>
        <v>0</v>
      </c>
      <c r="AK393" s="53">
        <f t="shared" si="454"/>
        <v>0</v>
      </c>
      <c r="AL393" s="53">
        <f t="shared" si="455"/>
        <v>0</v>
      </c>
      <c r="AN393" s="53">
        <v>21</v>
      </c>
      <c r="AO393" s="53">
        <f>G393*0</f>
        <v>0</v>
      </c>
      <c r="AP393" s="53">
        <f>G393*(1-0)</f>
        <v>0</v>
      </c>
      <c r="AQ393" s="54" t="s">
        <v>118</v>
      </c>
      <c r="AV393" s="53">
        <f t="shared" si="456"/>
        <v>0</v>
      </c>
      <c r="AW393" s="53">
        <f t="shared" si="457"/>
        <v>0</v>
      </c>
      <c r="AX393" s="53">
        <f t="shared" si="458"/>
        <v>0</v>
      </c>
      <c r="AY393" s="54" t="s">
        <v>1236</v>
      </c>
      <c r="AZ393" s="54" t="s">
        <v>983</v>
      </c>
      <c r="BA393" s="36" t="s">
        <v>116</v>
      </c>
      <c r="BC393" s="53">
        <f t="shared" si="459"/>
        <v>0</v>
      </c>
      <c r="BD393" s="53">
        <f t="shared" si="460"/>
        <v>0</v>
      </c>
      <c r="BE393" s="53">
        <v>0</v>
      </c>
      <c r="BF393" s="53">
        <f>393</f>
        <v>393</v>
      </c>
      <c r="BH393" s="53">
        <f t="shared" si="461"/>
        <v>0</v>
      </c>
      <c r="BI393" s="53">
        <f t="shared" si="462"/>
        <v>0</v>
      </c>
      <c r="BJ393" s="53">
        <f t="shared" si="463"/>
        <v>0</v>
      </c>
      <c r="BK393" s="54" t="s">
        <v>117</v>
      </c>
      <c r="BL393" s="53"/>
      <c r="BW393" s="53">
        <v>21</v>
      </c>
      <c r="BX393" s="3" t="s">
        <v>1248</v>
      </c>
    </row>
    <row r="394" spans="1:76" ht="23" x14ac:dyDescent="0.35">
      <c r="A394" s="1" t="s">
        <v>1249</v>
      </c>
      <c r="B394" s="2" t="s">
        <v>1250</v>
      </c>
      <c r="C394" s="91" t="s">
        <v>1251</v>
      </c>
      <c r="D394" s="88"/>
      <c r="E394" s="2" t="s">
        <v>121</v>
      </c>
      <c r="F394" s="53">
        <v>85</v>
      </c>
      <c r="G394" s="77">
        <v>0</v>
      </c>
      <c r="H394" s="53">
        <f t="shared" si="444"/>
        <v>0</v>
      </c>
      <c r="I394" s="79" t="s">
        <v>1688</v>
      </c>
      <c r="J394" s="49"/>
      <c r="Z394" s="53">
        <f t="shared" si="445"/>
        <v>0</v>
      </c>
      <c r="AB394" s="53">
        <f t="shared" si="446"/>
        <v>0</v>
      </c>
      <c r="AC394" s="53">
        <f t="shared" si="447"/>
        <v>0</v>
      </c>
      <c r="AD394" s="53">
        <f t="shared" si="448"/>
        <v>0</v>
      </c>
      <c r="AE394" s="53">
        <f t="shared" si="449"/>
        <v>0</v>
      </c>
      <c r="AF394" s="53">
        <f t="shared" si="450"/>
        <v>0</v>
      </c>
      <c r="AG394" s="53">
        <f t="shared" si="451"/>
        <v>0</v>
      </c>
      <c r="AH394" s="53">
        <f t="shared" si="452"/>
        <v>0</v>
      </c>
      <c r="AI394" s="36" t="s">
        <v>10</v>
      </c>
      <c r="AJ394" s="53">
        <f t="shared" si="453"/>
        <v>0</v>
      </c>
      <c r="AK394" s="53">
        <f t="shared" si="454"/>
        <v>0</v>
      </c>
      <c r="AL394" s="53">
        <f t="shared" si="455"/>
        <v>0</v>
      </c>
      <c r="AN394" s="53">
        <v>21</v>
      </c>
      <c r="AO394" s="53">
        <f>G394*0.625009914</f>
        <v>0</v>
      </c>
      <c r="AP394" s="53">
        <f>G394*(1-0.625009914)</f>
        <v>0</v>
      </c>
      <c r="AQ394" s="54" t="s">
        <v>118</v>
      </c>
      <c r="AV394" s="53">
        <f t="shared" si="456"/>
        <v>0</v>
      </c>
      <c r="AW394" s="53">
        <f t="shared" si="457"/>
        <v>0</v>
      </c>
      <c r="AX394" s="53">
        <f t="shared" si="458"/>
        <v>0</v>
      </c>
      <c r="AY394" s="54" t="s">
        <v>1236</v>
      </c>
      <c r="AZ394" s="54" t="s">
        <v>983</v>
      </c>
      <c r="BA394" s="36" t="s">
        <v>116</v>
      </c>
      <c r="BC394" s="53">
        <f t="shared" si="459"/>
        <v>0</v>
      </c>
      <c r="BD394" s="53">
        <f t="shared" si="460"/>
        <v>0</v>
      </c>
      <c r="BE394" s="53">
        <v>0</v>
      </c>
      <c r="BF394" s="53">
        <f>394</f>
        <v>394</v>
      </c>
      <c r="BH394" s="53">
        <f t="shared" si="461"/>
        <v>0</v>
      </c>
      <c r="BI394" s="53">
        <f t="shared" si="462"/>
        <v>0</v>
      </c>
      <c r="BJ394" s="53">
        <f t="shared" si="463"/>
        <v>0</v>
      </c>
      <c r="BK394" s="54" t="s">
        <v>117</v>
      </c>
      <c r="BL394" s="53"/>
      <c r="BW394" s="53">
        <v>21</v>
      </c>
      <c r="BX394" s="3" t="s">
        <v>1251</v>
      </c>
    </row>
    <row r="395" spans="1:76" ht="23" x14ac:dyDescent="0.35">
      <c r="A395" s="1" t="s">
        <v>1252</v>
      </c>
      <c r="B395" s="2" t="s">
        <v>1253</v>
      </c>
      <c r="C395" s="91" t="s">
        <v>1254</v>
      </c>
      <c r="D395" s="88"/>
      <c r="E395" s="2" t="s">
        <v>137</v>
      </c>
      <c r="F395" s="53">
        <v>12</v>
      </c>
      <c r="G395" s="77">
        <v>0</v>
      </c>
      <c r="H395" s="53">
        <f t="shared" si="444"/>
        <v>0</v>
      </c>
      <c r="I395" s="79" t="s">
        <v>1688</v>
      </c>
      <c r="J395" s="49"/>
      <c r="Z395" s="53">
        <f t="shared" si="445"/>
        <v>0</v>
      </c>
      <c r="AB395" s="53">
        <f t="shared" si="446"/>
        <v>0</v>
      </c>
      <c r="AC395" s="53">
        <f t="shared" si="447"/>
        <v>0</v>
      </c>
      <c r="AD395" s="53">
        <f t="shared" si="448"/>
        <v>0</v>
      </c>
      <c r="AE395" s="53">
        <f t="shared" si="449"/>
        <v>0</v>
      </c>
      <c r="AF395" s="53">
        <f t="shared" si="450"/>
        <v>0</v>
      </c>
      <c r="AG395" s="53">
        <f t="shared" si="451"/>
        <v>0</v>
      </c>
      <c r="AH395" s="53">
        <f t="shared" si="452"/>
        <v>0</v>
      </c>
      <c r="AI395" s="36" t="s">
        <v>10</v>
      </c>
      <c r="AJ395" s="53">
        <f t="shared" si="453"/>
        <v>0</v>
      </c>
      <c r="AK395" s="53">
        <f t="shared" si="454"/>
        <v>0</v>
      </c>
      <c r="AL395" s="53">
        <f t="shared" si="455"/>
        <v>0</v>
      </c>
      <c r="AN395" s="53">
        <v>21</v>
      </c>
      <c r="AO395" s="53">
        <f>G395*0.571505017</f>
        <v>0</v>
      </c>
      <c r="AP395" s="53">
        <f>G395*(1-0.571505017)</f>
        <v>0</v>
      </c>
      <c r="AQ395" s="54" t="s">
        <v>118</v>
      </c>
      <c r="AV395" s="53">
        <f t="shared" si="456"/>
        <v>0</v>
      </c>
      <c r="AW395" s="53">
        <f t="shared" si="457"/>
        <v>0</v>
      </c>
      <c r="AX395" s="53">
        <f t="shared" si="458"/>
        <v>0</v>
      </c>
      <c r="AY395" s="54" t="s">
        <v>1236</v>
      </c>
      <c r="AZ395" s="54" t="s">
        <v>983</v>
      </c>
      <c r="BA395" s="36" t="s">
        <v>116</v>
      </c>
      <c r="BC395" s="53">
        <f t="shared" si="459"/>
        <v>0</v>
      </c>
      <c r="BD395" s="53">
        <f t="shared" si="460"/>
        <v>0</v>
      </c>
      <c r="BE395" s="53">
        <v>0</v>
      </c>
      <c r="BF395" s="53">
        <f>395</f>
        <v>395</v>
      </c>
      <c r="BH395" s="53">
        <f t="shared" si="461"/>
        <v>0</v>
      </c>
      <c r="BI395" s="53">
        <f t="shared" si="462"/>
        <v>0</v>
      </c>
      <c r="BJ395" s="53">
        <f t="shared" si="463"/>
        <v>0</v>
      </c>
      <c r="BK395" s="54" t="s">
        <v>117</v>
      </c>
      <c r="BL395" s="53"/>
      <c r="BW395" s="53">
        <v>21</v>
      </c>
      <c r="BX395" s="3" t="s">
        <v>1254</v>
      </c>
    </row>
    <row r="396" spans="1:76" ht="23" x14ac:dyDescent="0.35">
      <c r="A396" s="1" t="s">
        <v>1255</v>
      </c>
      <c r="B396" s="2" t="s">
        <v>1256</v>
      </c>
      <c r="C396" s="91" t="s">
        <v>1257</v>
      </c>
      <c r="D396" s="88"/>
      <c r="E396" s="2" t="s">
        <v>137</v>
      </c>
      <c r="F396" s="53">
        <v>30</v>
      </c>
      <c r="G396" s="77">
        <v>0</v>
      </c>
      <c r="H396" s="53">
        <f t="shared" si="444"/>
        <v>0</v>
      </c>
      <c r="I396" s="79" t="s">
        <v>1688</v>
      </c>
      <c r="J396" s="49"/>
      <c r="Z396" s="53">
        <f t="shared" si="445"/>
        <v>0</v>
      </c>
      <c r="AB396" s="53">
        <f t="shared" si="446"/>
        <v>0</v>
      </c>
      <c r="AC396" s="53">
        <f t="shared" si="447"/>
        <v>0</v>
      </c>
      <c r="AD396" s="53">
        <f t="shared" si="448"/>
        <v>0</v>
      </c>
      <c r="AE396" s="53">
        <f t="shared" si="449"/>
        <v>0</v>
      </c>
      <c r="AF396" s="53">
        <f t="shared" si="450"/>
        <v>0</v>
      </c>
      <c r="AG396" s="53">
        <f t="shared" si="451"/>
        <v>0</v>
      </c>
      <c r="AH396" s="53">
        <f t="shared" si="452"/>
        <v>0</v>
      </c>
      <c r="AI396" s="36" t="s">
        <v>10</v>
      </c>
      <c r="AJ396" s="53">
        <f t="shared" si="453"/>
        <v>0</v>
      </c>
      <c r="AK396" s="53">
        <f t="shared" si="454"/>
        <v>0</v>
      </c>
      <c r="AL396" s="53">
        <f t="shared" si="455"/>
        <v>0</v>
      </c>
      <c r="AN396" s="53">
        <v>21</v>
      </c>
      <c r="AO396" s="53">
        <f>G396*0</f>
        <v>0</v>
      </c>
      <c r="AP396" s="53">
        <f>G396*(1-0)</f>
        <v>0</v>
      </c>
      <c r="AQ396" s="54" t="s">
        <v>118</v>
      </c>
      <c r="AV396" s="53">
        <f t="shared" si="456"/>
        <v>0</v>
      </c>
      <c r="AW396" s="53">
        <f t="shared" si="457"/>
        <v>0</v>
      </c>
      <c r="AX396" s="53">
        <f t="shared" si="458"/>
        <v>0</v>
      </c>
      <c r="AY396" s="54" t="s">
        <v>1236</v>
      </c>
      <c r="AZ396" s="54" t="s">
        <v>983</v>
      </c>
      <c r="BA396" s="36" t="s">
        <v>116</v>
      </c>
      <c r="BC396" s="53">
        <f t="shared" si="459"/>
        <v>0</v>
      </c>
      <c r="BD396" s="53">
        <f t="shared" si="460"/>
        <v>0</v>
      </c>
      <c r="BE396" s="53">
        <v>0</v>
      </c>
      <c r="BF396" s="53">
        <f>396</f>
        <v>396</v>
      </c>
      <c r="BH396" s="53">
        <f t="shared" si="461"/>
        <v>0</v>
      </c>
      <c r="BI396" s="53">
        <f t="shared" si="462"/>
        <v>0</v>
      </c>
      <c r="BJ396" s="53">
        <f t="shared" si="463"/>
        <v>0</v>
      </c>
      <c r="BK396" s="54" t="s">
        <v>117</v>
      </c>
      <c r="BL396" s="53"/>
      <c r="BW396" s="53">
        <v>21</v>
      </c>
      <c r="BX396" s="3" t="s">
        <v>1257</v>
      </c>
    </row>
    <row r="397" spans="1:76" ht="23" x14ac:dyDescent="0.35">
      <c r="A397" s="1" t="s">
        <v>1258</v>
      </c>
      <c r="B397" s="2" t="s">
        <v>1259</v>
      </c>
      <c r="C397" s="91" t="s">
        <v>1260</v>
      </c>
      <c r="D397" s="88"/>
      <c r="E397" s="2" t="s">
        <v>434</v>
      </c>
      <c r="F397" s="53">
        <v>6</v>
      </c>
      <c r="G397" s="77">
        <v>0</v>
      </c>
      <c r="H397" s="53">
        <f t="shared" si="444"/>
        <v>0</v>
      </c>
      <c r="I397" s="79" t="s">
        <v>1688</v>
      </c>
      <c r="J397" s="49"/>
      <c r="Z397" s="53">
        <f t="shared" si="445"/>
        <v>0</v>
      </c>
      <c r="AB397" s="53">
        <f t="shared" si="446"/>
        <v>0</v>
      </c>
      <c r="AC397" s="53">
        <f t="shared" si="447"/>
        <v>0</v>
      </c>
      <c r="AD397" s="53">
        <f t="shared" si="448"/>
        <v>0</v>
      </c>
      <c r="AE397" s="53">
        <f t="shared" si="449"/>
        <v>0</v>
      </c>
      <c r="AF397" s="53">
        <f t="shared" si="450"/>
        <v>0</v>
      </c>
      <c r="AG397" s="53">
        <f t="shared" si="451"/>
        <v>0</v>
      </c>
      <c r="AH397" s="53">
        <f t="shared" si="452"/>
        <v>0</v>
      </c>
      <c r="AI397" s="36" t="s">
        <v>10</v>
      </c>
      <c r="AJ397" s="53">
        <f t="shared" si="453"/>
        <v>0</v>
      </c>
      <c r="AK397" s="53">
        <f t="shared" si="454"/>
        <v>0</v>
      </c>
      <c r="AL397" s="53">
        <f t="shared" si="455"/>
        <v>0</v>
      </c>
      <c r="AN397" s="53">
        <v>21</v>
      </c>
      <c r="AO397" s="53">
        <f>G397*0.632274619</f>
        <v>0</v>
      </c>
      <c r="AP397" s="53">
        <f>G397*(1-0.632274619)</f>
        <v>0</v>
      </c>
      <c r="AQ397" s="54" t="s">
        <v>118</v>
      </c>
      <c r="AV397" s="53">
        <f t="shared" si="456"/>
        <v>0</v>
      </c>
      <c r="AW397" s="53">
        <f t="shared" si="457"/>
        <v>0</v>
      </c>
      <c r="AX397" s="53">
        <f t="shared" si="458"/>
        <v>0</v>
      </c>
      <c r="AY397" s="54" t="s">
        <v>1236</v>
      </c>
      <c r="AZ397" s="54" t="s">
        <v>983</v>
      </c>
      <c r="BA397" s="36" t="s">
        <v>116</v>
      </c>
      <c r="BC397" s="53">
        <f t="shared" si="459"/>
        <v>0</v>
      </c>
      <c r="BD397" s="53">
        <f t="shared" si="460"/>
        <v>0</v>
      </c>
      <c r="BE397" s="53">
        <v>0</v>
      </c>
      <c r="BF397" s="53">
        <f>397</f>
        <v>397</v>
      </c>
      <c r="BH397" s="53">
        <f t="shared" si="461"/>
        <v>0</v>
      </c>
      <c r="BI397" s="53">
        <f t="shared" si="462"/>
        <v>0</v>
      </c>
      <c r="BJ397" s="53">
        <f t="shared" si="463"/>
        <v>0</v>
      </c>
      <c r="BK397" s="54" t="s">
        <v>117</v>
      </c>
      <c r="BL397" s="53"/>
      <c r="BW397" s="53">
        <v>21</v>
      </c>
      <c r="BX397" s="3" t="s">
        <v>1260</v>
      </c>
    </row>
    <row r="398" spans="1:76" ht="23" x14ac:dyDescent="0.35">
      <c r="A398" s="1" t="s">
        <v>1261</v>
      </c>
      <c r="B398" s="2" t="s">
        <v>1262</v>
      </c>
      <c r="C398" s="91" t="s">
        <v>1263</v>
      </c>
      <c r="D398" s="88"/>
      <c r="E398" s="2" t="s">
        <v>434</v>
      </c>
      <c r="F398" s="53">
        <v>16</v>
      </c>
      <c r="G398" s="77">
        <v>0</v>
      </c>
      <c r="H398" s="53">
        <f t="shared" si="444"/>
        <v>0</v>
      </c>
      <c r="I398" s="79" t="s">
        <v>1688</v>
      </c>
      <c r="J398" s="49"/>
      <c r="Z398" s="53">
        <f t="shared" si="445"/>
        <v>0</v>
      </c>
      <c r="AB398" s="53">
        <f t="shared" si="446"/>
        <v>0</v>
      </c>
      <c r="AC398" s="53">
        <f t="shared" si="447"/>
        <v>0</v>
      </c>
      <c r="AD398" s="53">
        <f t="shared" si="448"/>
        <v>0</v>
      </c>
      <c r="AE398" s="53">
        <f t="shared" si="449"/>
        <v>0</v>
      </c>
      <c r="AF398" s="53">
        <f t="shared" si="450"/>
        <v>0</v>
      </c>
      <c r="AG398" s="53">
        <f t="shared" si="451"/>
        <v>0</v>
      </c>
      <c r="AH398" s="53">
        <f t="shared" si="452"/>
        <v>0</v>
      </c>
      <c r="AI398" s="36" t="s">
        <v>10</v>
      </c>
      <c r="AJ398" s="53">
        <f t="shared" si="453"/>
        <v>0</v>
      </c>
      <c r="AK398" s="53">
        <f t="shared" si="454"/>
        <v>0</v>
      </c>
      <c r="AL398" s="53">
        <f t="shared" si="455"/>
        <v>0</v>
      </c>
      <c r="AN398" s="53">
        <v>21</v>
      </c>
      <c r="AO398" s="53">
        <f>G398*0.875247934</f>
        <v>0</v>
      </c>
      <c r="AP398" s="53">
        <f>G398*(1-0.875247934)</f>
        <v>0</v>
      </c>
      <c r="AQ398" s="54" t="s">
        <v>118</v>
      </c>
      <c r="AV398" s="53">
        <f t="shared" si="456"/>
        <v>0</v>
      </c>
      <c r="AW398" s="53">
        <f t="shared" si="457"/>
        <v>0</v>
      </c>
      <c r="AX398" s="53">
        <f t="shared" si="458"/>
        <v>0</v>
      </c>
      <c r="AY398" s="54" t="s">
        <v>1236</v>
      </c>
      <c r="AZ398" s="54" t="s">
        <v>983</v>
      </c>
      <c r="BA398" s="36" t="s">
        <v>116</v>
      </c>
      <c r="BC398" s="53">
        <f t="shared" si="459"/>
        <v>0</v>
      </c>
      <c r="BD398" s="53">
        <f t="shared" si="460"/>
        <v>0</v>
      </c>
      <c r="BE398" s="53">
        <v>0</v>
      </c>
      <c r="BF398" s="53">
        <f>398</f>
        <v>398</v>
      </c>
      <c r="BH398" s="53">
        <f t="shared" si="461"/>
        <v>0</v>
      </c>
      <c r="BI398" s="53">
        <f t="shared" si="462"/>
        <v>0</v>
      </c>
      <c r="BJ398" s="53">
        <f t="shared" si="463"/>
        <v>0</v>
      </c>
      <c r="BK398" s="54" t="s">
        <v>117</v>
      </c>
      <c r="BL398" s="53"/>
      <c r="BW398" s="53">
        <v>21</v>
      </c>
      <c r="BX398" s="3" t="s">
        <v>1263</v>
      </c>
    </row>
    <row r="399" spans="1:76" ht="23" x14ac:dyDescent="0.35">
      <c r="A399" s="1" t="s">
        <v>1264</v>
      </c>
      <c r="B399" s="2" t="s">
        <v>1265</v>
      </c>
      <c r="C399" s="91" t="s">
        <v>1266</v>
      </c>
      <c r="D399" s="88"/>
      <c r="E399" s="2" t="s">
        <v>121</v>
      </c>
      <c r="F399" s="53">
        <v>1</v>
      </c>
      <c r="G399" s="77">
        <v>0</v>
      </c>
      <c r="H399" s="53">
        <f t="shared" si="444"/>
        <v>0</v>
      </c>
      <c r="I399" s="79" t="s">
        <v>1688</v>
      </c>
      <c r="J399" s="49"/>
      <c r="Z399" s="53">
        <f t="shared" si="445"/>
        <v>0</v>
      </c>
      <c r="AB399" s="53">
        <f t="shared" si="446"/>
        <v>0</v>
      </c>
      <c r="AC399" s="53">
        <f t="shared" si="447"/>
        <v>0</v>
      </c>
      <c r="AD399" s="53">
        <f t="shared" si="448"/>
        <v>0</v>
      </c>
      <c r="AE399" s="53">
        <f t="shared" si="449"/>
        <v>0</v>
      </c>
      <c r="AF399" s="53">
        <f t="shared" si="450"/>
        <v>0</v>
      </c>
      <c r="AG399" s="53">
        <f t="shared" si="451"/>
        <v>0</v>
      </c>
      <c r="AH399" s="53">
        <f t="shared" si="452"/>
        <v>0</v>
      </c>
      <c r="AI399" s="36" t="s">
        <v>10</v>
      </c>
      <c r="AJ399" s="53">
        <f t="shared" si="453"/>
        <v>0</v>
      </c>
      <c r="AK399" s="53">
        <f t="shared" si="454"/>
        <v>0</v>
      </c>
      <c r="AL399" s="53">
        <f t="shared" si="455"/>
        <v>0</v>
      </c>
      <c r="AN399" s="53">
        <v>21</v>
      </c>
      <c r="AO399" s="53">
        <f>G399*0.614134831</f>
        <v>0</v>
      </c>
      <c r="AP399" s="53">
        <f>G399*(1-0.614134831)</f>
        <v>0</v>
      </c>
      <c r="AQ399" s="54" t="s">
        <v>118</v>
      </c>
      <c r="AV399" s="53">
        <f t="shared" si="456"/>
        <v>0</v>
      </c>
      <c r="AW399" s="53">
        <f t="shared" si="457"/>
        <v>0</v>
      </c>
      <c r="AX399" s="53">
        <f t="shared" si="458"/>
        <v>0</v>
      </c>
      <c r="AY399" s="54" t="s">
        <v>1236</v>
      </c>
      <c r="AZ399" s="54" t="s">
        <v>983</v>
      </c>
      <c r="BA399" s="36" t="s">
        <v>116</v>
      </c>
      <c r="BC399" s="53">
        <f t="shared" si="459"/>
        <v>0</v>
      </c>
      <c r="BD399" s="53">
        <f t="shared" si="460"/>
        <v>0</v>
      </c>
      <c r="BE399" s="53">
        <v>0</v>
      </c>
      <c r="BF399" s="53">
        <f>399</f>
        <v>399</v>
      </c>
      <c r="BH399" s="53">
        <f t="shared" si="461"/>
        <v>0</v>
      </c>
      <c r="BI399" s="53">
        <f t="shared" si="462"/>
        <v>0</v>
      </c>
      <c r="BJ399" s="53">
        <f t="shared" si="463"/>
        <v>0</v>
      </c>
      <c r="BK399" s="54" t="s">
        <v>117</v>
      </c>
      <c r="BL399" s="53"/>
      <c r="BW399" s="53">
        <v>21</v>
      </c>
      <c r="BX399" s="3" t="s">
        <v>1266</v>
      </c>
    </row>
    <row r="400" spans="1:76" ht="23" x14ac:dyDescent="0.35">
      <c r="A400" s="1" t="s">
        <v>1267</v>
      </c>
      <c r="B400" s="2" t="s">
        <v>1268</v>
      </c>
      <c r="C400" s="91" t="s">
        <v>1269</v>
      </c>
      <c r="D400" s="88"/>
      <c r="E400" s="2" t="s">
        <v>121</v>
      </c>
      <c r="F400" s="53">
        <v>1</v>
      </c>
      <c r="G400" s="77">
        <v>0</v>
      </c>
      <c r="H400" s="53">
        <f t="shared" si="444"/>
        <v>0</v>
      </c>
      <c r="I400" s="79" t="s">
        <v>1688</v>
      </c>
      <c r="J400" s="49"/>
      <c r="Z400" s="53">
        <f t="shared" si="445"/>
        <v>0</v>
      </c>
      <c r="AB400" s="53">
        <f t="shared" si="446"/>
        <v>0</v>
      </c>
      <c r="AC400" s="53">
        <f t="shared" si="447"/>
        <v>0</v>
      </c>
      <c r="AD400" s="53">
        <f t="shared" si="448"/>
        <v>0</v>
      </c>
      <c r="AE400" s="53">
        <f t="shared" si="449"/>
        <v>0</v>
      </c>
      <c r="AF400" s="53">
        <f t="shared" si="450"/>
        <v>0</v>
      </c>
      <c r="AG400" s="53">
        <f t="shared" si="451"/>
        <v>0</v>
      </c>
      <c r="AH400" s="53">
        <f t="shared" si="452"/>
        <v>0</v>
      </c>
      <c r="AI400" s="36" t="s">
        <v>10</v>
      </c>
      <c r="AJ400" s="53">
        <f t="shared" si="453"/>
        <v>0</v>
      </c>
      <c r="AK400" s="53">
        <f t="shared" si="454"/>
        <v>0</v>
      </c>
      <c r="AL400" s="53">
        <f t="shared" si="455"/>
        <v>0</v>
      </c>
      <c r="AN400" s="53">
        <v>21</v>
      </c>
      <c r="AO400" s="53">
        <f>G400*0.775602996</f>
        <v>0</v>
      </c>
      <c r="AP400" s="53">
        <f>G400*(1-0.775602996)</f>
        <v>0</v>
      </c>
      <c r="AQ400" s="54" t="s">
        <v>118</v>
      </c>
      <c r="AV400" s="53">
        <f t="shared" si="456"/>
        <v>0</v>
      </c>
      <c r="AW400" s="53">
        <f t="shared" si="457"/>
        <v>0</v>
      </c>
      <c r="AX400" s="53">
        <f t="shared" si="458"/>
        <v>0</v>
      </c>
      <c r="AY400" s="54" t="s">
        <v>1236</v>
      </c>
      <c r="AZ400" s="54" t="s">
        <v>983</v>
      </c>
      <c r="BA400" s="36" t="s">
        <v>116</v>
      </c>
      <c r="BC400" s="53">
        <f t="shared" si="459"/>
        <v>0</v>
      </c>
      <c r="BD400" s="53">
        <f t="shared" si="460"/>
        <v>0</v>
      </c>
      <c r="BE400" s="53">
        <v>0</v>
      </c>
      <c r="BF400" s="53">
        <f>400</f>
        <v>400</v>
      </c>
      <c r="BH400" s="53">
        <f t="shared" si="461"/>
        <v>0</v>
      </c>
      <c r="BI400" s="53">
        <f t="shared" si="462"/>
        <v>0</v>
      </c>
      <c r="BJ400" s="53">
        <f t="shared" si="463"/>
        <v>0</v>
      </c>
      <c r="BK400" s="54" t="s">
        <v>117</v>
      </c>
      <c r="BL400" s="53"/>
      <c r="BW400" s="53">
        <v>21</v>
      </c>
      <c r="BX400" s="3" t="s">
        <v>1269</v>
      </c>
    </row>
    <row r="401" spans="1:76" ht="23" x14ac:dyDescent="0.35">
      <c r="A401" s="1" t="s">
        <v>1270</v>
      </c>
      <c r="B401" s="2" t="s">
        <v>1271</v>
      </c>
      <c r="C401" s="91" t="s">
        <v>1272</v>
      </c>
      <c r="D401" s="88"/>
      <c r="E401" s="2" t="s">
        <v>121</v>
      </c>
      <c r="F401" s="53">
        <v>32</v>
      </c>
      <c r="G401" s="77">
        <v>0</v>
      </c>
      <c r="H401" s="53">
        <f t="shared" si="444"/>
        <v>0</v>
      </c>
      <c r="I401" s="79" t="s">
        <v>1688</v>
      </c>
      <c r="J401" s="49"/>
      <c r="Z401" s="53">
        <f t="shared" si="445"/>
        <v>0</v>
      </c>
      <c r="AB401" s="53">
        <f t="shared" si="446"/>
        <v>0</v>
      </c>
      <c r="AC401" s="53">
        <f t="shared" si="447"/>
        <v>0</v>
      </c>
      <c r="AD401" s="53">
        <f t="shared" si="448"/>
        <v>0</v>
      </c>
      <c r="AE401" s="53">
        <f t="shared" si="449"/>
        <v>0</v>
      </c>
      <c r="AF401" s="53">
        <f t="shared" si="450"/>
        <v>0</v>
      </c>
      <c r="AG401" s="53">
        <f t="shared" si="451"/>
        <v>0</v>
      </c>
      <c r="AH401" s="53">
        <f t="shared" si="452"/>
        <v>0</v>
      </c>
      <c r="AI401" s="36" t="s">
        <v>10</v>
      </c>
      <c r="AJ401" s="53">
        <f t="shared" si="453"/>
        <v>0</v>
      </c>
      <c r="AK401" s="53">
        <f t="shared" si="454"/>
        <v>0</v>
      </c>
      <c r="AL401" s="53">
        <f t="shared" si="455"/>
        <v>0</v>
      </c>
      <c r="AN401" s="53">
        <v>21</v>
      </c>
      <c r="AO401" s="53">
        <f>G401*0</f>
        <v>0</v>
      </c>
      <c r="AP401" s="53">
        <f>G401*(1-0)</f>
        <v>0</v>
      </c>
      <c r="AQ401" s="54" t="s">
        <v>118</v>
      </c>
      <c r="AV401" s="53">
        <f t="shared" si="456"/>
        <v>0</v>
      </c>
      <c r="AW401" s="53">
        <f t="shared" si="457"/>
        <v>0</v>
      </c>
      <c r="AX401" s="53">
        <f t="shared" si="458"/>
        <v>0</v>
      </c>
      <c r="AY401" s="54" t="s">
        <v>1236</v>
      </c>
      <c r="AZ401" s="54" t="s">
        <v>983</v>
      </c>
      <c r="BA401" s="36" t="s">
        <v>116</v>
      </c>
      <c r="BC401" s="53">
        <f t="shared" si="459"/>
        <v>0</v>
      </c>
      <c r="BD401" s="53">
        <f t="shared" si="460"/>
        <v>0</v>
      </c>
      <c r="BE401" s="53">
        <v>0</v>
      </c>
      <c r="BF401" s="53">
        <f>401</f>
        <v>401</v>
      </c>
      <c r="BH401" s="53">
        <f t="shared" si="461"/>
        <v>0</v>
      </c>
      <c r="BI401" s="53">
        <f t="shared" si="462"/>
        <v>0</v>
      </c>
      <c r="BJ401" s="53">
        <f t="shared" si="463"/>
        <v>0</v>
      </c>
      <c r="BK401" s="54" t="s">
        <v>117</v>
      </c>
      <c r="BL401" s="53"/>
      <c r="BW401" s="53">
        <v>21</v>
      </c>
      <c r="BX401" s="3" t="s">
        <v>1272</v>
      </c>
    </row>
    <row r="402" spans="1:76" ht="23" x14ac:dyDescent="0.35">
      <c r="A402" s="1" t="s">
        <v>1273</v>
      </c>
      <c r="B402" s="2" t="s">
        <v>1274</v>
      </c>
      <c r="C402" s="91" t="s">
        <v>1275</v>
      </c>
      <c r="D402" s="88"/>
      <c r="E402" s="2" t="s">
        <v>424</v>
      </c>
      <c r="F402" s="53">
        <v>1</v>
      </c>
      <c r="G402" s="77">
        <v>0</v>
      </c>
      <c r="H402" s="53">
        <f t="shared" si="444"/>
        <v>0</v>
      </c>
      <c r="I402" s="79" t="s">
        <v>1688</v>
      </c>
      <c r="J402" s="49"/>
      <c r="Z402" s="53">
        <f t="shared" si="445"/>
        <v>0</v>
      </c>
      <c r="AB402" s="53">
        <f t="shared" si="446"/>
        <v>0</v>
      </c>
      <c r="AC402" s="53">
        <f t="shared" si="447"/>
        <v>0</v>
      </c>
      <c r="AD402" s="53">
        <f t="shared" si="448"/>
        <v>0</v>
      </c>
      <c r="AE402" s="53">
        <f t="shared" si="449"/>
        <v>0</v>
      </c>
      <c r="AF402" s="53">
        <f t="shared" si="450"/>
        <v>0</v>
      </c>
      <c r="AG402" s="53">
        <f t="shared" si="451"/>
        <v>0</v>
      </c>
      <c r="AH402" s="53">
        <f t="shared" si="452"/>
        <v>0</v>
      </c>
      <c r="AI402" s="36" t="s">
        <v>10</v>
      </c>
      <c r="AJ402" s="53">
        <f t="shared" si="453"/>
        <v>0</v>
      </c>
      <c r="AK402" s="53">
        <f t="shared" si="454"/>
        <v>0</v>
      </c>
      <c r="AL402" s="53">
        <f t="shared" si="455"/>
        <v>0</v>
      </c>
      <c r="AN402" s="53">
        <v>21</v>
      </c>
      <c r="AO402" s="53">
        <f>G402*0.689666667</f>
        <v>0</v>
      </c>
      <c r="AP402" s="53">
        <f>G402*(1-0.689666667)</f>
        <v>0</v>
      </c>
      <c r="AQ402" s="54" t="s">
        <v>118</v>
      </c>
      <c r="AV402" s="53">
        <f t="shared" si="456"/>
        <v>0</v>
      </c>
      <c r="AW402" s="53">
        <f t="shared" si="457"/>
        <v>0</v>
      </c>
      <c r="AX402" s="53">
        <f t="shared" si="458"/>
        <v>0</v>
      </c>
      <c r="AY402" s="54" t="s">
        <v>1236</v>
      </c>
      <c r="AZ402" s="54" t="s">
        <v>983</v>
      </c>
      <c r="BA402" s="36" t="s">
        <v>116</v>
      </c>
      <c r="BC402" s="53">
        <f t="shared" si="459"/>
        <v>0</v>
      </c>
      <c r="BD402" s="53">
        <f t="shared" si="460"/>
        <v>0</v>
      </c>
      <c r="BE402" s="53">
        <v>0</v>
      </c>
      <c r="BF402" s="53">
        <f>402</f>
        <v>402</v>
      </c>
      <c r="BH402" s="53">
        <f t="shared" si="461"/>
        <v>0</v>
      </c>
      <c r="BI402" s="53">
        <f t="shared" si="462"/>
        <v>0</v>
      </c>
      <c r="BJ402" s="53">
        <f t="shared" si="463"/>
        <v>0</v>
      </c>
      <c r="BK402" s="54" t="s">
        <v>117</v>
      </c>
      <c r="BL402" s="53"/>
      <c r="BW402" s="53">
        <v>21</v>
      </c>
      <c r="BX402" s="3" t="s">
        <v>1275</v>
      </c>
    </row>
    <row r="403" spans="1:76" ht="23" x14ac:dyDescent="0.35">
      <c r="A403" s="1" t="s">
        <v>1276</v>
      </c>
      <c r="B403" s="2" t="s">
        <v>1277</v>
      </c>
      <c r="C403" s="91" t="s">
        <v>1278</v>
      </c>
      <c r="D403" s="88"/>
      <c r="E403" s="2" t="s">
        <v>434</v>
      </c>
      <c r="F403" s="53">
        <v>1</v>
      </c>
      <c r="G403" s="77">
        <v>0</v>
      </c>
      <c r="H403" s="53">
        <f t="shared" si="444"/>
        <v>0</v>
      </c>
      <c r="I403" s="79" t="s">
        <v>1688</v>
      </c>
      <c r="J403" s="49"/>
      <c r="Z403" s="53">
        <f t="shared" si="445"/>
        <v>0</v>
      </c>
      <c r="AB403" s="53">
        <f t="shared" si="446"/>
        <v>0</v>
      </c>
      <c r="AC403" s="53">
        <f t="shared" si="447"/>
        <v>0</v>
      </c>
      <c r="AD403" s="53">
        <f t="shared" si="448"/>
        <v>0</v>
      </c>
      <c r="AE403" s="53">
        <f t="shared" si="449"/>
        <v>0</v>
      </c>
      <c r="AF403" s="53">
        <f t="shared" si="450"/>
        <v>0</v>
      </c>
      <c r="AG403" s="53">
        <f t="shared" si="451"/>
        <v>0</v>
      </c>
      <c r="AH403" s="53">
        <f t="shared" si="452"/>
        <v>0</v>
      </c>
      <c r="AI403" s="36" t="s">
        <v>10</v>
      </c>
      <c r="AJ403" s="53">
        <f t="shared" si="453"/>
        <v>0</v>
      </c>
      <c r="AK403" s="53">
        <f t="shared" si="454"/>
        <v>0</v>
      </c>
      <c r="AL403" s="53">
        <f t="shared" si="455"/>
        <v>0</v>
      </c>
      <c r="AN403" s="53">
        <v>21</v>
      </c>
      <c r="AO403" s="53">
        <f>G403*0.374681648</f>
        <v>0</v>
      </c>
      <c r="AP403" s="53">
        <f>G403*(1-0.374681648)</f>
        <v>0</v>
      </c>
      <c r="AQ403" s="54" t="s">
        <v>118</v>
      </c>
      <c r="AV403" s="53">
        <f t="shared" si="456"/>
        <v>0</v>
      </c>
      <c r="AW403" s="53">
        <f t="shared" si="457"/>
        <v>0</v>
      </c>
      <c r="AX403" s="53">
        <f t="shared" si="458"/>
        <v>0</v>
      </c>
      <c r="AY403" s="54" t="s">
        <v>1236</v>
      </c>
      <c r="AZ403" s="54" t="s">
        <v>983</v>
      </c>
      <c r="BA403" s="36" t="s">
        <v>116</v>
      </c>
      <c r="BC403" s="53">
        <f t="shared" si="459"/>
        <v>0</v>
      </c>
      <c r="BD403" s="53">
        <f t="shared" si="460"/>
        <v>0</v>
      </c>
      <c r="BE403" s="53">
        <v>0</v>
      </c>
      <c r="BF403" s="53">
        <f>403</f>
        <v>403</v>
      </c>
      <c r="BH403" s="53">
        <f t="shared" si="461"/>
        <v>0</v>
      </c>
      <c r="BI403" s="53">
        <f t="shared" si="462"/>
        <v>0</v>
      </c>
      <c r="BJ403" s="53">
        <f t="shared" si="463"/>
        <v>0</v>
      </c>
      <c r="BK403" s="54" t="s">
        <v>117</v>
      </c>
      <c r="BL403" s="53"/>
      <c r="BW403" s="53">
        <v>21</v>
      </c>
      <c r="BX403" s="3" t="s">
        <v>1278</v>
      </c>
    </row>
    <row r="404" spans="1:76" ht="23" x14ac:dyDescent="0.35">
      <c r="A404" s="1" t="s">
        <v>1279</v>
      </c>
      <c r="B404" s="2" t="s">
        <v>1280</v>
      </c>
      <c r="C404" s="91" t="s">
        <v>1281</v>
      </c>
      <c r="D404" s="88"/>
      <c r="E404" s="2" t="s">
        <v>434</v>
      </c>
      <c r="F404" s="53">
        <v>1</v>
      </c>
      <c r="G404" s="77">
        <v>0</v>
      </c>
      <c r="H404" s="53">
        <f t="shared" si="444"/>
        <v>0</v>
      </c>
      <c r="I404" s="79" t="s">
        <v>1688</v>
      </c>
      <c r="J404" s="49"/>
      <c r="Z404" s="53">
        <f t="shared" si="445"/>
        <v>0</v>
      </c>
      <c r="AB404" s="53">
        <f t="shared" si="446"/>
        <v>0</v>
      </c>
      <c r="AC404" s="53">
        <f t="shared" si="447"/>
        <v>0</v>
      </c>
      <c r="AD404" s="53">
        <f t="shared" si="448"/>
        <v>0</v>
      </c>
      <c r="AE404" s="53">
        <f t="shared" si="449"/>
        <v>0</v>
      </c>
      <c r="AF404" s="53">
        <f t="shared" si="450"/>
        <v>0</v>
      </c>
      <c r="AG404" s="53">
        <f t="shared" si="451"/>
        <v>0</v>
      </c>
      <c r="AH404" s="53">
        <f t="shared" si="452"/>
        <v>0</v>
      </c>
      <c r="AI404" s="36" t="s">
        <v>10</v>
      </c>
      <c r="AJ404" s="53">
        <f t="shared" si="453"/>
        <v>0</v>
      </c>
      <c r="AK404" s="53">
        <f t="shared" si="454"/>
        <v>0</v>
      </c>
      <c r="AL404" s="53">
        <f t="shared" si="455"/>
        <v>0</v>
      </c>
      <c r="AN404" s="53">
        <v>21</v>
      </c>
      <c r="AO404" s="53">
        <f>G404*0.739146067</f>
        <v>0</v>
      </c>
      <c r="AP404" s="53">
        <f>G404*(1-0.739146067)</f>
        <v>0</v>
      </c>
      <c r="AQ404" s="54" t="s">
        <v>118</v>
      </c>
      <c r="AV404" s="53">
        <f t="shared" si="456"/>
        <v>0</v>
      </c>
      <c r="AW404" s="53">
        <f t="shared" si="457"/>
        <v>0</v>
      </c>
      <c r="AX404" s="53">
        <f t="shared" si="458"/>
        <v>0</v>
      </c>
      <c r="AY404" s="54" t="s">
        <v>1236</v>
      </c>
      <c r="AZ404" s="54" t="s">
        <v>983</v>
      </c>
      <c r="BA404" s="36" t="s">
        <v>116</v>
      </c>
      <c r="BC404" s="53">
        <f t="shared" si="459"/>
        <v>0</v>
      </c>
      <c r="BD404" s="53">
        <f t="shared" si="460"/>
        <v>0</v>
      </c>
      <c r="BE404" s="53">
        <v>0</v>
      </c>
      <c r="BF404" s="53">
        <f>404</f>
        <v>404</v>
      </c>
      <c r="BH404" s="53">
        <f t="shared" si="461"/>
        <v>0</v>
      </c>
      <c r="BI404" s="53">
        <f t="shared" si="462"/>
        <v>0</v>
      </c>
      <c r="BJ404" s="53">
        <f t="shared" si="463"/>
        <v>0</v>
      </c>
      <c r="BK404" s="54" t="s">
        <v>117</v>
      </c>
      <c r="BL404" s="53"/>
      <c r="BW404" s="53">
        <v>21</v>
      </c>
      <c r="BX404" s="3" t="s">
        <v>1281</v>
      </c>
    </row>
    <row r="405" spans="1:76" ht="23" x14ac:dyDescent="0.35">
      <c r="A405" s="1" t="s">
        <v>1282</v>
      </c>
      <c r="B405" s="2" t="s">
        <v>1283</v>
      </c>
      <c r="C405" s="91" t="s">
        <v>1284</v>
      </c>
      <c r="D405" s="88"/>
      <c r="E405" s="2" t="s">
        <v>121</v>
      </c>
      <c r="F405" s="53">
        <v>16</v>
      </c>
      <c r="G405" s="77">
        <v>0</v>
      </c>
      <c r="H405" s="53">
        <f t="shared" si="444"/>
        <v>0</v>
      </c>
      <c r="I405" s="79" t="s">
        <v>1688</v>
      </c>
      <c r="J405" s="49"/>
      <c r="Z405" s="53">
        <f t="shared" si="445"/>
        <v>0</v>
      </c>
      <c r="AB405" s="53">
        <f t="shared" si="446"/>
        <v>0</v>
      </c>
      <c r="AC405" s="53">
        <f t="shared" si="447"/>
        <v>0</v>
      </c>
      <c r="AD405" s="53">
        <f t="shared" si="448"/>
        <v>0</v>
      </c>
      <c r="AE405" s="53">
        <f t="shared" si="449"/>
        <v>0</v>
      </c>
      <c r="AF405" s="53">
        <f t="shared" si="450"/>
        <v>0</v>
      </c>
      <c r="AG405" s="53">
        <f t="shared" si="451"/>
        <v>0</v>
      </c>
      <c r="AH405" s="53">
        <f t="shared" si="452"/>
        <v>0</v>
      </c>
      <c r="AI405" s="36" t="s">
        <v>10</v>
      </c>
      <c r="AJ405" s="53">
        <f t="shared" si="453"/>
        <v>0</v>
      </c>
      <c r="AK405" s="53">
        <f t="shared" si="454"/>
        <v>0</v>
      </c>
      <c r="AL405" s="53">
        <f t="shared" si="455"/>
        <v>0</v>
      </c>
      <c r="AN405" s="53">
        <v>21</v>
      </c>
      <c r="AO405" s="53">
        <f>G405*0</f>
        <v>0</v>
      </c>
      <c r="AP405" s="53">
        <f>G405*(1-0)</f>
        <v>0</v>
      </c>
      <c r="AQ405" s="54" t="s">
        <v>118</v>
      </c>
      <c r="AV405" s="53">
        <f t="shared" si="456"/>
        <v>0</v>
      </c>
      <c r="AW405" s="53">
        <f t="shared" si="457"/>
        <v>0</v>
      </c>
      <c r="AX405" s="53">
        <f t="shared" si="458"/>
        <v>0</v>
      </c>
      <c r="AY405" s="54" t="s">
        <v>1236</v>
      </c>
      <c r="AZ405" s="54" t="s">
        <v>983</v>
      </c>
      <c r="BA405" s="36" t="s">
        <v>116</v>
      </c>
      <c r="BC405" s="53">
        <f t="shared" si="459"/>
        <v>0</v>
      </c>
      <c r="BD405" s="53">
        <f t="shared" si="460"/>
        <v>0</v>
      </c>
      <c r="BE405" s="53">
        <v>0</v>
      </c>
      <c r="BF405" s="53">
        <f>405</f>
        <v>405</v>
      </c>
      <c r="BH405" s="53">
        <f t="shared" si="461"/>
        <v>0</v>
      </c>
      <c r="BI405" s="53">
        <f t="shared" si="462"/>
        <v>0</v>
      </c>
      <c r="BJ405" s="53">
        <f t="shared" si="463"/>
        <v>0</v>
      </c>
      <c r="BK405" s="54" t="s">
        <v>117</v>
      </c>
      <c r="BL405" s="53"/>
      <c r="BW405" s="53">
        <v>21</v>
      </c>
      <c r="BX405" s="3" t="s">
        <v>1284</v>
      </c>
    </row>
    <row r="406" spans="1:76" ht="23" x14ac:dyDescent="0.35">
      <c r="A406" s="1" t="s">
        <v>1285</v>
      </c>
      <c r="B406" s="2" t="s">
        <v>1286</v>
      </c>
      <c r="C406" s="91" t="s">
        <v>1287</v>
      </c>
      <c r="D406" s="88"/>
      <c r="E406" s="2" t="s">
        <v>434</v>
      </c>
      <c r="F406" s="53">
        <v>1</v>
      </c>
      <c r="G406" s="77">
        <v>0</v>
      </c>
      <c r="H406" s="53">
        <f t="shared" si="444"/>
        <v>0</v>
      </c>
      <c r="I406" s="79" t="s">
        <v>1688</v>
      </c>
      <c r="J406" s="49"/>
      <c r="Z406" s="53">
        <f t="shared" si="445"/>
        <v>0</v>
      </c>
      <c r="AB406" s="53">
        <f t="shared" si="446"/>
        <v>0</v>
      </c>
      <c r="AC406" s="53">
        <f t="shared" si="447"/>
        <v>0</v>
      </c>
      <c r="AD406" s="53">
        <f t="shared" si="448"/>
        <v>0</v>
      </c>
      <c r="AE406" s="53">
        <f t="shared" si="449"/>
        <v>0</v>
      </c>
      <c r="AF406" s="53">
        <f t="shared" si="450"/>
        <v>0</v>
      </c>
      <c r="AG406" s="53">
        <f t="shared" si="451"/>
        <v>0</v>
      </c>
      <c r="AH406" s="53">
        <f t="shared" si="452"/>
        <v>0</v>
      </c>
      <c r="AI406" s="36" t="s">
        <v>10</v>
      </c>
      <c r="AJ406" s="53">
        <f t="shared" si="453"/>
        <v>0</v>
      </c>
      <c r="AK406" s="53">
        <f t="shared" si="454"/>
        <v>0</v>
      </c>
      <c r="AL406" s="53">
        <f t="shared" si="455"/>
        <v>0</v>
      </c>
      <c r="AN406" s="53">
        <v>21</v>
      </c>
      <c r="AO406" s="53">
        <f>G406*0</f>
        <v>0</v>
      </c>
      <c r="AP406" s="53">
        <f>G406*(1-0)</f>
        <v>0</v>
      </c>
      <c r="AQ406" s="54" t="s">
        <v>118</v>
      </c>
      <c r="AV406" s="53">
        <f t="shared" si="456"/>
        <v>0</v>
      </c>
      <c r="AW406" s="53">
        <f t="shared" si="457"/>
        <v>0</v>
      </c>
      <c r="AX406" s="53">
        <f t="shared" si="458"/>
        <v>0</v>
      </c>
      <c r="AY406" s="54" t="s">
        <v>1236</v>
      </c>
      <c r="AZ406" s="54" t="s">
        <v>983</v>
      </c>
      <c r="BA406" s="36" t="s">
        <v>116</v>
      </c>
      <c r="BC406" s="53">
        <f t="shared" si="459"/>
        <v>0</v>
      </c>
      <c r="BD406" s="53">
        <f t="shared" si="460"/>
        <v>0</v>
      </c>
      <c r="BE406" s="53">
        <v>0</v>
      </c>
      <c r="BF406" s="53">
        <f>406</f>
        <v>406</v>
      </c>
      <c r="BH406" s="53">
        <f t="shared" si="461"/>
        <v>0</v>
      </c>
      <c r="BI406" s="53">
        <f t="shared" si="462"/>
        <v>0</v>
      </c>
      <c r="BJ406" s="53">
        <f t="shared" si="463"/>
        <v>0</v>
      </c>
      <c r="BK406" s="54" t="s">
        <v>117</v>
      </c>
      <c r="BL406" s="53"/>
      <c r="BW406" s="53">
        <v>21</v>
      </c>
      <c r="BX406" s="3" t="s">
        <v>1287</v>
      </c>
    </row>
    <row r="407" spans="1:76" ht="23" x14ac:dyDescent="0.35">
      <c r="A407" s="1" t="s">
        <v>1288</v>
      </c>
      <c r="B407" s="2" t="s">
        <v>1289</v>
      </c>
      <c r="C407" s="91" t="s">
        <v>1290</v>
      </c>
      <c r="D407" s="88"/>
      <c r="E407" s="2" t="s">
        <v>10</v>
      </c>
      <c r="F407" s="53">
        <v>1</v>
      </c>
      <c r="G407" s="77">
        <v>0</v>
      </c>
      <c r="H407" s="53">
        <f t="shared" si="444"/>
        <v>0</v>
      </c>
      <c r="I407" s="79" t="s">
        <v>1688</v>
      </c>
      <c r="J407" s="49"/>
      <c r="Z407" s="53">
        <f t="shared" si="445"/>
        <v>0</v>
      </c>
      <c r="AB407" s="53">
        <f t="shared" si="446"/>
        <v>0</v>
      </c>
      <c r="AC407" s="53">
        <f t="shared" si="447"/>
        <v>0</v>
      </c>
      <c r="AD407" s="53">
        <f t="shared" si="448"/>
        <v>0</v>
      </c>
      <c r="AE407" s="53">
        <f t="shared" si="449"/>
        <v>0</v>
      </c>
      <c r="AF407" s="53">
        <f t="shared" si="450"/>
        <v>0</v>
      </c>
      <c r="AG407" s="53">
        <f t="shared" si="451"/>
        <v>0</v>
      </c>
      <c r="AH407" s="53">
        <f t="shared" si="452"/>
        <v>0</v>
      </c>
      <c r="AI407" s="36" t="s">
        <v>10</v>
      </c>
      <c r="AJ407" s="53">
        <f t="shared" si="453"/>
        <v>0</v>
      </c>
      <c r="AK407" s="53">
        <f t="shared" si="454"/>
        <v>0</v>
      </c>
      <c r="AL407" s="53">
        <f t="shared" si="455"/>
        <v>0</v>
      </c>
      <c r="AN407" s="53">
        <v>21</v>
      </c>
      <c r="AO407" s="53">
        <f>G407*0</f>
        <v>0</v>
      </c>
      <c r="AP407" s="53">
        <f>G407*(1-0)</f>
        <v>0</v>
      </c>
      <c r="AQ407" s="54" t="s">
        <v>118</v>
      </c>
      <c r="AV407" s="53">
        <f t="shared" si="456"/>
        <v>0</v>
      </c>
      <c r="AW407" s="53">
        <f t="shared" si="457"/>
        <v>0</v>
      </c>
      <c r="AX407" s="53">
        <f t="shared" si="458"/>
        <v>0</v>
      </c>
      <c r="AY407" s="54" t="s">
        <v>1236</v>
      </c>
      <c r="AZ407" s="54" t="s">
        <v>983</v>
      </c>
      <c r="BA407" s="36" t="s">
        <v>116</v>
      </c>
      <c r="BC407" s="53">
        <f t="shared" si="459"/>
        <v>0</v>
      </c>
      <c r="BD407" s="53">
        <f t="shared" si="460"/>
        <v>0</v>
      </c>
      <c r="BE407" s="53">
        <v>0</v>
      </c>
      <c r="BF407" s="53">
        <f>407</f>
        <v>407</v>
      </c>
      <c r="BH407" s="53">
        <f t="shared" si="461"/>
        <v>0</v>
      </c>
      <c r="BI407" s="53">
        <f t="shared" si="462"/>
        <v>0</v>
      </c>
      <c r="BJ407" s="53">
        <f t="shared" si="463"/>
        <v>0</v>
      </c>
      <c r="BK407" s="54" t="s">
        <v>117</v>
      </c>
      <c r="BL407" s="53"/>
      <c r="BW407" s="53">
        <v>21</v>
      </c>
      <c r="BX407" s="3" t="s">
        <v>1290</v>
      </c>
    </row>
    <row r="408" spans="1:76" ht="23" x14ac:dyDescent="0.35">
      <c r="A408" s="1" t="s">
        <v>1291</v>
      </c>
      <c r="B408" s="2" t="s">
        <v>1292</v>
      </c>
      <c r="C408" s="91" t="s">
        <v>1293</v>
      </c>
      <c r="D408" s="88"/>
      <c r="E408" s="2" t="s">
        <v>121</v>
      </c>
      <c r="F408" s="53">
        <v>1</v>
      </c>
      <c r="G408" s="77">
        <v>0</v>
      </c>
      <c r="H408" s="53">
        <f t="shared" si="444"/>
        <v>0</v>
      </c>
      <c r="I408" s="79" t="s">
        <v>1688</v>
      </c>
      <c r="J408" s="49"/>
      <c r="Z408" s="53">
        <f t="shared" si="445"/>
        <v>0</v>
      </c>
      <c r="AB408" s="53">
        <f t="shared" si="446"/>
        <v>0</v>
      </c>
      <c r="AC408" s="53">
        <f t="shared" si="447"/>
        <v>0</v>
      </c>
      <c r="AD408" s="53">
        <f t="shared" si="448"/>
        <v>0</v>
      </c>
      <c r="AE408" s="53">
        <f t="shared" si="449"/>
        <v>0</v>
      </c>
      <c r="AF408" s="53">
        <f t="shared" si="450"/>
        <v>0</v>
      </c>
      <c r="AG408" s="53">
        <f t="shared" si="451"/>
        <v>0</v>
      </c>
      <c r="AH408" s="53">
        <f t="shared" si="452"/>
        <v>0</v>
      </c>
      <c r="AI408" s="36" t="s">
        <v>10</v>
      </c>
      <c r="AJ408" s="53">
        <f t="shared" si="453"/>
        <v>0</v>
      </c>
      <c r="AK408" s="53">
        <f t="shared" si="454"/>
        <v>0</v>
      </c>
      <c r="AL408" s="53">
        <f t="shared" si="455"/>
        <v>0</v>
      </c>
      <c r="AN408" s="53">
        <v>21</v>
      </c>
      <c r="AO408" s="53">
        <f>G408*0</f>
        <v>0</v>
      </c>
      <c r="AP408" s="53">
        <f>G408*(1-0)</f>
        <v>0</v>
      </c>
      <c r="AQ408" s="54" t="s">
        <v>118</v>
      </c>
      <c r="AV408" s="53">
        <f t="shared" si="456"/>
        <v>0</v>
      </c>
      <c r="AW408" s="53">
        <f t="shared" si="457"/>
        <v>0</v>
      </c>
      <c r="AX408" s="53">
        <f t="shared" si="458"/>
        <v>0</v>
      </c>
      <c r="AY408" s="54" t="s">
        <v>1236</v>
      </c>
      <c r="AZ408" s="54" t="s">
        <v>983</v>
      </c>
      <c r="BA408" s="36" t="s">
        <v>116</v>
      </c>
      <c r="BC408" s="53">
        <f t="shared" si="459"/>
        <v>0</v>
      </c>
      <c r="BD408" s="53">
        <f t="shared" si="460"/>
        <v>0</v>
      </c>
      <c r="BE408" s="53">
        <v>0</v>
      </c>
      <c r="BF408" s="53">
        <f>408</f>
        <v>408</v>
      </c>
      <c r="BH408" s="53">
        <f t="shared" si="461"/>
        <v>0</v>
      </c>
      <c r="BI408" s="53">
        <f t="shared" si="462"/>
        <v>0</v>
      </c>
      <c r="BJ408" s="53">
        <f t="shared" si="463"/>
        <v>0</v>
      </c>
      <c r="BK408" s="54" t="s">
        <v>117</v>
      </c>
      <c r="BL408" s="53"/>
      <c r="BW408" s="53">
        <v>21</v>
      </c>
      <c r="BX408" s="3" t="s">
        <v>1293</v>
      </c>
    </row>
    <row r="409" spans="1:76" ht="14.5" x14ac:dyDescent="0.35">
      <c r="A409" s="50" t="s">
        <v>10</v>
      </c>
      <c r="B409" s="51" t="s">
        <v>1294</v>
      </c>
      <c r="C409" s="172" t="s">
        <v>1295</v>
      </c>
      <c r="D409" s="173"/>
      <c r="E409" s="52" t="s">
        <v>75</v>
      </c>
      <c r="F409" s="52" t="s">
        <v>75</v>
      </c>
      <c r="G409" s="52" t="s">
        <v>75</v>
      </c>
      <c r="H409" s="28">
        <f>SUM(H410:H420)</f>
        <v>0</v>
      </c>
      <c r="I409" s="36" t="s">
        <v>10</v>
      </c>
      <c r="J409" s="49"/>
      <c r="AI409" s="36" t="s">
        <v>10</v>
      </c>
      <c r="AS409" s="28">
        <f>SUM(AJ410:AJ420)</f>
        <v>0</v>
      </c>
      <c r="AT409" s="28">
        <f>SUM(AK410:AK420)</f>
        <v>0</v>
      </c>
      <c r="AU409" s="28">
        <f>SUM(AL410:AL420)</f>
        <v>0</v>
      </c>
    </row>
    <row r="410" spans="1:76" ht="23" x14ac:dyDescent="0.35">
      <c r="A410" s="1" t="s">
        <v>1296</v>
      </c>
      <c r="B410" s="2" t="s">
        <v>1297</v>
      </c>
      <c r="C410" s="91" t="s">
        <v>1298</v>
      </c>
      <c r="D410" s="88"/>
      <c r="E410" s="2" t="s">
        <v>121</v>
      </c>
      <c r="F410" s="53">
        <v>1</v>
      </c>
      <c r="G410" s="77">
        <v>0</v>
      </c>
      <c r="H410" s="53">
        <f t="shared" ref="H410:H420" si="464">ROUND(F410*G410,2)</f>
        <v>0</v>
      </c>
      <c r="I410" s="79" t="s">
        <v>1688</v>
      </c>
      <c r="J410" s="49"/>
      <c r="Z410" s="53">
        <f t="shared" ref="Z410:Z420" si="465">ROUND(IF(AQ410="5",BJ410,0),2)</f>
        <v>0</v>
      </c>
      <c r="AB410" s="53">
        <f t="shared" ref="AB410:AB420" si="466">ROUND(IF(AQ410="1",BH410,0),2)</f>
        <v>0</v>
      </c>
      <c r="AC410" s="53">
        <f t="shared" ref="AC410:AC420" si="467">ROUND(IF(AQ410="1",BI410,0),2)</f>
        <v>0</v>
      </c>
      <c r="AD410" s="53">
        <f t="shared" ref="AD410:AD420" si="468">ROUND(IF(AQ410="7",BH410,0),2)</f>
        <v>0</v>
      </c>
      <c r="AE410" s="53">
        <f t="shared" ref="AE410:AE420" si="469">ROUND(IF(AQ410="7",BI410,0),2)</f>
        <v>0</v>
      </c>
      <c r="AF410" s="53">
        <f t="shared" ref="AF410:AF420" si="470">ROUND(IF(AQ410="2",BH410,0),2)</f>
        <v>0</v>
      </c>
      <c r="AG410" s="53">
        <f t="shared" ref="AG410:AG420" si="471">ROUND(IF(AQ410="2",BI410,0),2)</f>
        <v>0</v>
      </c>
      <c r="AH410" s="53">
        <f t="shared" ref="AH410:AH420" si="472">ROUND(IF(AQ410="0",BJ410,0),2)</f>
        <v>0</v>
      </c>
      <c r="AI410" s="36" t="s">
        <v>10</v>
      </c>
      <c r="AJ410" s="53">
        <f t="shared" ref="AJ410:AJ420" si="473">IF(AN410=0,H410,0)</f>
        <v>0</v>
      </c>
      <c r="AK410" s="53">
        <f t="shared" ref="AK410:AK420" si="474">IF(AN410=12,H410,0)</f>
        <v>0</v>
      </c>
      <c r="AL410" s="53">
        <f t="shared" ref="AL410:AL420" si="475">IF(AN410=21,H410,0)</f>
        <v>0</v>
      </c>
      <c r="AN410" s="53">
        <v>21</v>
      </c>
      <c r="AO410" s="53">
        <f>G410*0.02349829</f>
        <v>0</v>
      </c>
      <c r="AP410" s="53">
        <f>G410*(1-0.02349829)</f>
        <v>0</v>
      </c>
      <c r="AQ410" s="54" t="s">
        <v>118</v>
      </c>
      <c r="AV410" s="53">
        <f t="shared" ref="AV410:AV420" si="476">ROUND(AW410+AX410,2)</f>
        <v>0</v>
      </c>
      <c r="AW410" s="53">
        <f t="shared" ref="AW410:AW420" si="477">ROUND(F410*AO410,2)</f>
        <v>0</v>
      </c>
      <c r="AX410" s="53">
        <f t="shared" ref="AX410:AX420" si="478">ROUND(F410*AP410,2)</f>
        <v>0</v>
      </c>
      <c r="AY410" s="54" t="s">
        <v>1299</v>
      </c>
      <c r="AZ410" s="54" t="s">
        <v>983</v>
      </c>
      <c r="BA410" s="36" t="s">
        <v>116</v>
      </c>
      <c r="BC410" s="53">
        <f t="shared" ref="BC410:BC420" si="479">AW410+AX410</f>
        <v>0</v>
      </c>
      <c r="BD410" s="53">
        <f t="shared" ref="BD410:BD420" si="480">G410/(100-BE410)*100</f>
        <v>0</v>
      </c>
      <c r="BE410" s="53">
        <v>0</v>
      </c>
      <c r="BF410" s="53">
        <f>410</f>
        <v>410</v>
      </c>
      <c r="BH410" s="53">
        <f t="shared" ref="BH410:BH420" si="481">F410*AO410</f>
        <v>0</v>
      </c>
      <c r="BI410" s="53">
        <f t="shared" ref="BI410:BI420" si="482">F410*AP410</f>
        <v>0</v>
      </c>
      <c r="BJ410" s="53">
        <f t="shared" ref="BJ410:BJ420" si="483">F410*G410</f>
        <v>0</v>
      </c>
      <c r="BK410" s="54" t="s">
        <v>117</v>
      </c>
      <c r="BL410" s="53"/>
      <c r="BW410" s="53">
        <v>21</v>
      </c>
      <c r="BX410" s="3" t="s">
        <v>1298</v>
      </c>
    </row>
    <row r="411" spans="1:76" ht="23" x14ac:dyDescent="0.35">
      <c r="A411" s="1" t="s">
        <v>1300</v>
      </c>
      <c r="B411" s="2" t="s">
        <v>1301</v>
      </c>
      <c r="C411" s="91" t="s">
        <v>1302</v>
      </c>
      <c r="D411" s="88"/>
      <c r="E411" s="2" t="s">
        <v>121</v>
      </c>
      <c r="F411" s="53">
        <v>1</v>
      </c>
      <c r="G411" s="77">
        <v>0</v>
      </c>
      <c r="H411" s="53">
        <f t="shared" si="464"/>
        <v>0</v>
      </c>
      <c r="I411" s="79" t="s">
        <v>1688</v>
      </c>
      <c r="J411" s="49"/>
      <c r="Z411" s="53">
        <f t="shared" si="465"/>
        <v>0</v>
      </c>
      <c r="AB411" s="53">
        <f t="shared" si="466"/>
        <v>0</v>
      </c>
      <c r="AC411" s="53">
        <f t="shared" si="467"/>
        <v>0</v>
      </c>
      <c r="AD411" s="53">
        <f t="shared" si="468"/>
        <v>0</v>
      </c>
      <c r="AE411" s="53">
        <f t="shared" si="469"/>
        <v>0</v>
      </c>
      <c r="AF411" s="53">
        <f t="shared" si="470"/>
        <v>0</v>
      </c>
      <c r="AG411" s="53">
        <f t="shared" si="471"/>
        <v>0</v>
      </c>
      <c r="AH411" s="53">
        <f t="shared" si="472"/>
        <v>0</v>
      </c>
      <c r="AI411" s="36" t="s">
        <v>10</v>
      </c>
      <c r="AJ411" s="53">
        <f t="shared" si="473"/>
        <v>0</v>
      </c>
      <c r="AK411" s="53">
        <f t="shared" si="474"/>
        <v>0</v>
      </c>
      <c r="AL411" s="53">
        <f t="shared" si="475"/>
        <v>0</v>
      </c>
      <c r="AN411" s="53">
        <v>21</v>
      </c>
      <c r="AO411" s="53">
        <f>G411*0.76715158</f>
        <v>0</v>
      </c>
      <c r="AP411" s="53">
        <f>G411*(1-0.76715158)</f>
        <v>0</v>
      </c>
      <c r="AQ411" s="54" t="s">
        <v>118</v>
      </c>
      <c r="AV411" s="53">
        <f t="shared" si="476"/>
        <v>0</v>
      </c>
      <c r="AW411" s="53">
        <f t="shared" si="477"/>
        <v>0</v>
      </c>
      <c r="AX411" s="53">
        <f t="shared" si="478"/>
        <v>0</v>
      </c>
      <c r="AY411" s="54" t="s">
        <v>1299</v>
      </c>
      <c r="AZ411" s="54" t="s">
        <v>983</v>
      </c>
      <c r="BA411" s="36" t="s">
        <v>116</v>
      </c>
      <c r="BC411" s="53">
        <f t="shared" si="479"/>
        <v>0</v>
      </c>
      <c r="BD411" s="53">
        <f t="shared" si="480"/>
        <v>0</v>
      </c>
      <c r="BE411" s="53">
        <v>0</v>
      </c>
      <c r="BF411" s="53">
        <f>411</f>
        <v>411</v>
      </c>
      <c r="BH411" s="53">
        <f t="shared" si="481"/>
        <v>0</v>
      </c>
      <c r="BI411" s="53">
        <f t="shared" si="482"/>
        <v>0</v>
      </c>
      <c r="BJ411" s="53">
        <f t="shared" si="483"/>
        <v>0</v>
      </c>
      <c r="BK411" s="54" t="s">
        <v>117</v>
      </c>
      <c r="BL411" s="53"/>
      <c r="BW411" s="53">
        <v>21</v>
      </c>
      <c r="BX411" s="3" t="s">
        <v>1302</v>
      </c>
    </row>
    <row r="412" spans="1:76" ht="23" x14ac:dyDescent="0.35">
      <c r="A412" s="1" t="s">
        <v>1303</v>
      </c>
      <c r="B412" s="2" t="s">
        <v>1304</v>
      </c>
      <c r="C412" s="91" t="s">
        <v>1305</v>
      </c>
      <c r="D412" s="88"/>
      <c r="E412" s="2" t="s">
        <v>424</v>
      </c>
      <c r="F412" s="53">
        <v>1</v>
      </c>
      <c r="G412" s="77">
        <v>0</v>
      </c>
      <c r="H412" s="53">
        <f t="shared" si="464"/>
        <v>0</v>
      </c>
      <c r="I412" s="79" t="s">
        <v>1688</v>
      </c>
      <c r="J412" s="49"/>
      <c r="Z412" s="53">
        <f t="shared" si="465"/>
        <v>0</v>
      </c>
      <c r="AB412" s="53">
        <f t="shared" si="466"/>
        <v>0</v>
      </c>
      <c r="AC412" s="53">
        <f t="shared" si="467"/>
        <v>0</v>
      </c>
      <c r="AD412" s="53">
        <f t="shared" si="468"/>
        <v>0</v>
      </c>
      <c r="AE412" s="53">
        <f t="shared" si="469"/>
        <v>0</v>
      </c>
      <c r="AF412" s="53">
        <f t="shared" si="470"/>
        <v>0</v>
      </c>
      <c r="AG412" s="53">
        <f t="shared" si="471"/>
        <v>0</v>
      </c>
      <c r="AH412" s="53">
        <f t="shared" si="472"/>
        <v>0</v>
      </c>
      <c r="AI412" s="36" t="s">
        <v>10</v>
      </c>
      <c r="AJ412" s="53">
        <f t="shared" si="473"/>
        <v>0</v>
      </c>
      <c r="AK412" s="53">
        <f t="shared" si="474"/>
        <v>0</v>
      </c>
      <c r="AL412" s="53">
        <f t="shared" si="475"/>
        <v>0</v>
      </c>
      <c r="AN412" s="53">
        <v>21</v>
      </c>
      <c r="AO412" s="53">
        <f>G412*0.368422491</f>
        <v>0</v>
      </c>
      <c r="AP412" s="53">
        <f>G412*(1-0.368422491)</f>
        <v>0</v>
      </c>
      <c r="AQ412" s="54" t="s">
        <v>118</v>
      </c>
      <c r="AV412" s="53">
        <f t="shared" si="476"/>
        <v>0</v>
      </c>
      <c r="AW412" s="53">
        <f t="shared" si="477"/>
        <v>0</v>
      </c>
      <c r="AX412" s="53">
        <f t="shared" si="478"/>
        <v>0</v>
      </c>
      <c r="AY412" s="54" t="s">
        <v>1299</v>
      </c>
      <c r="AZ412" s="54" t="s">
        <v>983</v>
      </c>
      <c r="BA412" s="36" t="s">
        <v>116</v>
      </c>
      <c r="BC412" s="53">
        <f t="shared" si="479"/>
        <v>0</v>
      </c>
      <c r="BD412" s="53">
        <f t="shared" si="480"/>
        <v>0</v>
      </c>
      <c r="BE412" s="53">
        <v>0</v>
      </c>
      <c r="BF412" s="53">
        <f>412</f>
        <v>412</v>
      </c>
      <c r="BH412" s="53">
        <f t="shared" si="481"/>
        <v>0</v>
      </c>
      <c r="BI412" s="53">
        <f t="shared" si="482"/>
        <v>0</v>
      </c>
      <c r="BJ412" s="53">
        <f t="shared" si="483"/>
        <v>0</v>
      </c>
      <c r="BK412" s="54" t="s">
        <v>117</v>
      </c>
      <c r="BL412" s="53"/>
      <c r="BW412" s="53">
        <v>21</v>
      </c>
      <c r="BX412" s="3" t="s">
        <v>1305</v>
      </c>
    </row>
    <row r="413" spans="1:76" ht="23" x14ac:dyDescent="0.35">
      <c r="A413" s="1" t="s">
        <v>1306</v>
      </c>
      <c r="B413" s="2" t="s">
        <v>1307</v>
      </c>
      <c r="C413" s="91" t="s">
        <v>1308</v>
      </c>
      <c r="D413" s="88"/>
      <c r="E413" s="2" t="s">
        <v>121</v>
      </c>
      <c r="F413" s="53">
        <v>1</v>
      </c>
      <c r="G413" s="77">
        <v>0</v>
      </c>
      <c r="H413" s="53">
        <f t="shared" si="464"/>
        <v>0</v>
      </c>
      <c r="I413" s="79" t="s">
        <v>1688</v>
      </c>
      <c r="J413" s="49"/>
      <c r="Z413" s="53">
        <f t="shared" si="465"/>
        <v>0</v>
      </c>
      <c r="AB413" s="53">
        <f t="shared" si="466"/>
        <v>0</v>
      </c>
      <c r="AC413" s="53">
        <f t="shared" si="467"/>
        <v>0</v>
      </c>
      <c r="AD413" s="53">
        <f t="shared" si="468"/>
        <v>0</v>
      </c>
      <c r="AE413" s="53">
        <f t="shared" si="469"/>
        <v>0</v>
      </c>
      <c r="AF413" s="53">
        <f t="shared" si="470"/>
        <v>0</v>
      </c>
      <c r="AG413" s="53">
        <f t="shared" si="471"/>
        <v>0</v>
      </c>
      <c r="AH413" s="53">
        <f t="shared" si="472"/>
        <v>0</v>
      </c>
      <c r="AI413" s="36" t="s">
        <v>10</v>
      </c>
      <c r="AJ413" s="53">
        <f t="shared" si="473"/>
        <v>0</v>
      </c>
      <c r="AK413" s="53">
        <f t="shared" si="474"/>
        <v>0</v>
      </c>
      <c r="AL413" s="53">
        <f t="shared" si="475"/>
        <v>0</v>
      </c>
      <c r="AN413" s="53">
        <v>21</v>
      </c>
      <c r="AO413" s="53">
        <f>G413*0.786020114</f>
        <v>0</v>
      </c>
      <c r="AP413" s="53">
        <f>G413*(1-0.786020114)</f>
        <v>0</v>
      </c>
      <c r="AQ413" s="54" t="s">
        <v>118</v>
      </c>
      <c r="AV413" s="53">
        <f t="shared" si="476"/>
        <v>0</v>
      </c>
      <c r="AW413" s="53">
        <f t="shared" si="477"/>
        <v>0</v>
      </c>
      <c r="AX413" s="53">
        <f t="shared" si="478"/>
        <v>0</v>
      </c>
      <c r="AY413" s="54" t="s">
        <v>1299</v>
      </c>
      <c r="AZ413" s="54" t="s">
        <v>983</v>
      </c>
      <c r="BA413" s="36" t="s">
        <v>116</v>
      </c>
      <c r="BC413" s="53">
        <f t="shared" si="479"/>
        <v>0</v>
      </c>
      <c r="BD413" s="53">
        <f t="shared" si="480"/>
        <v>0</v>
      </c>
      <c r="BE413" s="53">
        <v>0</v>
      </c>
      <c r="BF413" s="53">
        <f>413</f>
        <v>413</v>
      </c>
      <c r="BH413" s="53">
        <f t="shared" si="481"/>
        <v>0</v>
      </c>
      <c r="BI413" s="53">
        <f t="shared" si="482"/>
        <v>0</v>
      </c>
      <c r="BJ413" s="53">
        <f t="shared" si="483"/>
        <v>0</v>
      </c>
      <c r="BK413" s="54" t="s">
        <v>117</v>
      </c>
      <c r="BL413" s="53"/>
      <c r="BW413" s="53">
        <v>21</v>
      </c>
      <c r="BX413" s="3" t="s">
        <v>1308</v>
      </c>
    </row>
    <row r="414" spans="1:76" ht="23" x14ac:dyDescent="0.35">
      <c r="A414" s="1" t="s">
        <v>1309</v>
      </c>
      <c r="B414" s="2" t="s">
        <v>1297</v>
      </c>
      <c r="C414" s="91" t="s">
        <v>1310</v>
      </c>
      <c r="D414" s="88"/>
      <c r="E414" s="2" t="s">
        <v>121</v>
      </c>
      <c r="F414" s="53">
        <v>1</v>
      </c>
      <c r="G414" s="77">
        <v>0</v>
      </c>
      <c r="H414" s="53">
        <f t="shared" si="464"/>
        <v>0</v>
      </c>
      <c r="I414" s="79" t="s">
        <v>1688</v>
      </c>
      <c r="J414" s="49"/>
      <c r="Z414" s="53">
        <f t="shared" si="465"/>
        <v>0</v>
      </c>
      <c r="AB414" s="53">
        <f t="shared" si="466"/>
        <v>0</v>
      </c>
      <c r="AC414" s="53">
        <f t="shared" si="467"/>
        <v>0</v>
      </c>
      <c r="AD414" s="53">
        <f t="shared" si="468"/>
        <v>0</v>
      </c>
      <c r="AE414" s="53">
        <f t="shared" si="469"/>
        <v>0</v>
      </c>
      <c r="AF414" s="53">
        <f t="shared" si="470"/>
        <v>0</v>
      </c>
      <c r="AG414" s="53">
        <f t="shared" si="471"/>
        <v>0</v>
      </c>
      <c r="AH414" s="53">
        <f t="shared" si="472"/>
        <v>0</v>
      </c>
      <c r="AI414" s="36" t="s">
        <v>10</v>
      </c>
      <c r="AJ414" s="53">
        <f t="shared" si="473"/>
        <v>0</v>
      </c>
      <c r="AK414" s="53">
        <f t="shared" si="474"/>
        <v>0</v>
      </c>
      <c r="AL414" s="53">
        <f t="shared" si="475"/>
        <v>0</v>
      </c>
      <c r="AN414" s="53">
        <v>21</v>
      </c>
      <c r="AO414" s="53">
        <f>G414*0.02349847</f>
        <v>0</v>
      </c>
      <c r="AP414" s="53">
        <f>G414*(1-0.02349847)</f>
        <v>0</v>
      </c>
      <c r="AQ414" s="54" t="s">
        <v>118</v>
      </c>
      <c r="AV414" s="53">
        <f t="shared" si="476"/>
        <v>0</v>
      </c>
      <c r="AW414" s="53">
        <f t="shared" si="477"/>
        <v>0</v>
      </c>
      <c r="AX414" s="53">
        <f t="shared" si="478"/>
        <v>0</v>
      </c>
      <c r="AY414" s="54" t="s">
        <v>1299</v>
      </c>
      <c r="AZ414" s="54" t="s">
        <v>983</v>
      </c>
      <c r="BA414" s="36" t="s">
        <v>116</v>
      </c>
      <c r="BC414" s="53">
        <f t="shared" si="479"/>
        <v>0</v>
      </c>
      <c r="BD414" s="53">
        <f t="shared" si="480"/>
        <v>0</v>
      </c>
      <c r="BE414" s="53">
        <v>0</v>
      </c>
      <c r="BF414" s="53">
        <f>414</f>
        <v>414</v>
      </c>
      <c r="BH414" s="53">
        <f t="shared" si="481"/>
        <v>0</v>
      </c>
      <c r="BI414" s="53">
        <f t="shared" si="482"/>
        <v>0</v>
      </c>
      <c r="BJ414" s="53">
        <f t="shared" si="483"/>
        <v>0</v>
      </c>
      <c r="BK414" s="54" t="s">
        <v>117</v>
      </c>
      <c r="BL414" s="53"/>
      <c r="BW414" s="53">
        <v>21</v>
      </c>
      <c r="BX414" s="3" t="s">
        <v>1310</v>
      </c>
    </row>
    <row r="415" spans="1:76" ht="23" x14ac:dyDescent="0.35">
      <c r="A415" s="1" t="s">
        <v>1311</v>
      </c>
      <c r="B415" s="2" t="s">
        <v>1023</v>
      </c>
      <c r="C415" s="91" t="s">
        <v>1312</v>
      </c>
      <c r="D415" s="88"/>
      <c r="E415" s="2" t="s">
        <v>143</v>
      </c>
      <c r="F415" s="53">
        <v>0.59</v>
      </c>
      <c r="G415" s="77">
        <v>0</v>
      </c>
      <c r="H415" s="53">
        <f t="shared" si="464"/>
        <v>0</v>
      </c>
      <c r="I415" s="79" t="s">
        <v>1688</v>
      </c>
      <c r="J415" s="49"/>
      <c r="Z415" s="53">
        <f t="shared" si="465"/>
        <v>0</v>
      </c>
      <c r="AB415" s="53">
        <f t="shared" si="466"/>
        <v>0</v>
      </c>
      <c r="AC415" s="53">
        <f t="shared" si="467"/>
        <v>0</v>
      </c>
      <c r="AD415" s="53">
        <f t="shared" si="468"/>
        <v>0</v>
      </c>
      <c r="AE415" s="53">
        <f t="shared" si="469"/>
        <v>0</v>
      </c>
      <c r="AF415" s="53">
        <f t="shared" si="470"/>
        <v>0</v>
      </c>
      <c r="AG415" s="53">
        <f t="shared" si="471"/>
        <v>0</v>
      </c>
      <c r="AH415" s="53">
        <f t="shared" si="472"/>
        <v>0</v>
      </c>
      <c r="AI415" s="36" t="s">
        <v>10</v>
      </c>
      <c r="AJ415" s="53">
        <f t="shared" si="473"/>
        <v>0</v>
      </c>
      <c r="AK415" s="53">
        <f t="shared" si="474"/>
        <v>0</v>
      </c>
      <c r="AL415" s="53">
        <f t="shared" si="475"/>
        <v>0</v>
      </c>
      <c r="AN415" s="53">
        <v>21</v>
      </c>
      <c r="AO415" s="53">
        <f>G415*0</f>
        <v>0</v>
      </c>
      <c r="AP415" s="53">
        <f>G415*(1-0)</f>
        <v>0</v>
      </c>
      <c r="AQ415" s="54" t="s">
        <v>110</v>
      </c>
      <c r="AV415" s="53">
        <f t="shared" si="476"/>
        <v>0</v>
      </c>
      <c r="AW415" s="53">
        <f t="shared" si="477"/>
        <v>0</v>
      </c>
      <c r="AX415" s="53">
        <f t="shared" si="478"/>
        <v>0</v>
      </c>
      <c r="AY415" s="54" t="s">
        <v>1299</v>
      </c>
      <c r="AZ415" s="54" t="s">
        <v>983</v>
      </c>
      <c r="BA415" s="36" t="s">
        <v>116</v>
      </c>
      <c r="BC415" s="53">
        <f t="shared" si="479"/>
        <v>0</v>
      </c>
      <c r="BD415" s="53">
        <f t="shared" si="480"/>
        <v>0</v>
      </c>
      <c r="BE415" s="53">
        <v>0</v>
      </c>
      <c r="BF415" s="53">
        <f>415</f>
        <v>415</v>
      </c>
      <c r="BH415" s="53">
        <f t="shared" si="481"/>
        <v>0</v>
      </c>
      <c r="BI415" s="53">
        <f t="shared" si="482"/>
        <v>0</v>
      </c>
      <c r="BJ415" s="53">
        <f t="shared" si="483"/>
        <v>0</v>
      </c>
      <c r="BK415" s="54" t="s">
        <v>117</v>
      </c>
      <c r="BL415" s="53"/>
      <c r="BW415" s="53">
        <v>21</v>
      </c>
      <c r="BX415" s="3" t="s">
        <v>1312</v>
      </c>
    </row>
    <row r="416" spans="1:76" ht="23" x14ac:dyDescent="0.35">
      <c r="A416" s="1" t="s">
        <v>1313</v>
      </c>
      <c r="B416" s="2" t="s">
        <v>159</v>
      </c>
      <c r="C416" s="91" t="s">
        <v>1314</v>
      </c>
      <c r="D416" s="88"/>
      <c r="E416" s="2" t="s">
        <v>143</v>
      </c>
      <c r="F416" s="53">
        <v>1.74</v>
      </c>
      <c r="G416" s="77">
        <v>0</v>
      </c>
      <c r="H416" s="53">
        <f t="shared" si="464"/>
        <v>0</v>
      </c>
      <c r="I416" s="79" t="s">
        <v>1688</v>
      </c>
      <c r="J416" s="49"/>
      <c r="Z416" s="53">
        <f t="shared" si="465"/>
        <v>0</v>
      </c>
      <c r="AB416" s="53">
        <f t="shared" si="466"/>
        <v>0</v>
      </c>
      <c r="AC416" s="53">
        <f t="shared" si="467"/>
        <v>0</v>
      </c>
      <c r="AD416" s="53">
        <f t="shared" si="468"/>
        <v>0</v>
      </c>
      <c r="AE416" s="53">
        <f t="shared" si="469"/>
        <v>0</v>
      </c>
      <c r="AF416" s="53">
        <f t="shared" si="470"/>
        <v>0</v>
      </c>
      <c r="AG416" s="53">
        <f t="shared" si="471"/>
        <v>0</v>
      </c>
      <c r="AH416" s="53">
        <f t="shared" si="472"/>
        <v>0</v>
      </c>
      <c r="AI416" s="36" t="s">
        <v>10</v>
      </c>
      <c r="AJ416" s="53">
        <f t="shared" si="473"/>
        <v>0</v>
      </c>
      <c r="AK416" s="53">
        <f t="shared" si="474"/>
        <v>0</v>
      </c>
      <c r="AL416" s="53">
        <f t="shared" si="475"/>
        <v>0</v>
      </c>
      <c r="AN416" s="53">
        <v>21</v>
      </c>
      <c r="AO416" s="53">
        <f>G416*0</f>
        <v>0</v>
      </c>
      <c r="AP416" s="53">
        <f>G416*(1-0)</f>
        <v>0</v>
      </c>
      <c r="AQ416" s="54" t="s">
        <v>110</v>
      </c>
      <c r="AV416" s="53">
        <f t="shared" si="476"/>
        <v>0</v>
      </c>
      <c r="AW416" s="53">
        <f t="shared" si="477"/>
        <v>0</v>
      </c>
      <c r="AX416" s="53">
        <f t="shared" si="478"/>
        <v>0</v>
      </c>
      <c r="AY416" s="54" t="s">
        <v>1299</v>
      </c>
      <c r="AZ416" s="54" t="s">
        <v>983</v>
      </c>
      <c r="BA416" s="36" t="s">
        <v>116</v>
      </c>
      <c r="BC416" s="53">
        <f t="shared" si="479"/>
        <v>0</v>
      </c>
      <c r="BD416" s="53">
        <f t="shared" si="480"/>
        <v>0</v>
      </c>
      <c r="BE416" s="53">
        <v>0</v>
      </c>
      <c r="BF416" s="53">
        <f>416</f>
        <v>416</v>
      </c>
      <c r="BH416" s="53">
        <f t="shared" si="481"/>
        <v>0</v>
      </c>
      <c r="BI416" s="53">
        <f t="shared" si="482"/>
        <v>0</v>
      </c>
      <c r="BJ416" s="53">
        <f t="shared" si="483"/>
        <v>0</v>
      </c>
      <c r="BK416" s="54" t="s">
        <v>117</v>
      </c>
      <c r="BL416" s="53"/>
      <c r="BW416" s="53">
        <v>21</v>
      </c>
      <c r="BX416" s="3" t="s">
        <v>1314</v>
      </c>
    </row>
    <row r="417" spans="1:76" ht="23" x14ac:dyDescent="0.35">
      <c r="A417" s="1" t="s">
        <v>1315</v>
      </c>
      <c r="B417" s="2" t="s">
        <v>1316</v>
      </c>
      <c r="C417" s="91" t="s">
        <v>1317</v>
      </c>
      <c r="D417" s="88"/>
      <c r="E417" s="2" t="s">
        <v>143</v>
      </c>
      <c r="F417" s="53">
        <v>0.36</v>
      </c>
      <c r="G417" s="77">
        <v>0</v>
      </c>
      <c r="H417" s="53">
        <f t="shared" si="464"/>
        <v>0</v>
      </c>
      <c r="I417" s="79" t="s">
        <v>1688</v>
      </c>
      <c r="J417" s="49"/>
      <c r="Z417" s="53">
        <f t="shared" si="465"/>
        <v>0</v>
      </c>
      <c r="AB417" s="53">
        <f t="shared" si="466"/>
        <v>0</v>
      </c>
      <c r="AC417" s="53">
        <f t="shared" si="467"/>
        <v>0</v>
      </c>
      <c r="AD417" s="53">
        <f t="shared" si="468"/>
        <v>0</v>
      </c>
      <c r="AE417" s="53">
        <f t="shared" si="469"/>
        <v>0</v>
      </c>
      <c r="AF417" s="53">
        <f t="shared" si="470"/>
        <v>0</v>
      </c>
      <c r="AG417" s="53">
        <f t="shared" si="471"/>
        <v>0</v>
      </c>
      <c r="AH417" s="53">
        <f t="shared" si="472"/>
        <v>0</v>
      </c>
      <c r="AI417" s="36" t="s">
        <v>10</v>
      </c>
      <c r="AJ417" s="53">
        <f t="shared" si="473"/>
        <v>0</v>
      </c>
      <c r="AK417" s="53">
        <f t="shared" si="474"/>
        <v>0</v>
      </c>
      <c r="AL417" s="53">
        <f t="shared" si="475"/>
        <v>0</v>
      </c>
      <c r="AN417" s="53">
        <v>21</v>
      </c>
      <c r="AO417" s="53">
        <f>G417*0.673964646</f>
        <v>0</v>
      </c>
      <c r="AP417" s="53">
        <f>G417*(1-0.673964646)</f>
        <v>0</v>
      </c>
      <c r="AQ417" s="54" t="s">
        <v>110</v>
      </c>
      <c r="AV417" s="53">
        <f t="shared" si="476"/>
        <v>0</v>
      </c>
      <c r="AW417" s="53">
        <f t="shared" si="477"/>
        <v>0</v>
      </c>
      <c r="AX417" s="53">
        <f t="shared" si="478"/>
        <v>0</v>
      </c>
      <c r="AY417" s="54" t="s">
        <v>1299</v>
      </c>
      <c r="AZ417" s="54" t="s">
        <v>983</v>
      </c>
      <c r="BA417" s="36" t="s">
        <v>116</v>
      </c>
      <c r="BC417" s="53">
        <f t="shared" si="479"/>
        <v>0</v>
      </c>
      <c r="BD417" s="53">
        <f t="shared" si="480"/>
        <v>0</v>
      </c>
      <c r="BE417" s="53">
        <v>0</v>
      </c>
      <c r="BF417" s="53">
        <f>417</f>
        <v>417</v>
      </c>
      <c r="BH417" s="53">
        <f t="shared" si="481"/>
        <v>0</v>
      </c>
      <c r="BI417" s="53">
        <f t="shared" si="482"/>
        <v>0</v>
      </c>
      <c r="BJ417" s="53">
        <f t="shared" si="483"/>
        <v>0</v>
      </c>
      <c r="BK417" s="54" t="s">
        <v>117</v>
      </c>
      <c r="BL417" s="53"/>
      <c r="BW417" s="53">
        <v>21</v>
      </c>
      <c r="BX417" s="3" t="s">
        <v>1317</v>
      </c>
    </row>
    <row r="418" spans="1:76" ht="23" x14ac:dyDescent="0.35">
      <c r="A418" s="1" t="s">
        <v>1318</v>
      </c>
      <c r="B418" s="2" t="s">
        <v>1319</v>
      </c>
      <c r="C418" s="91" t="s">
        <v>1320</v>
      </c>
      <c r="D418" s="88"/>
      <c r="E418" s="2" t="s">
        <v>143</v>
      </c>
      <c r="F418" s="53">
        <v>0.56000000000000005</v>
      </c>
      <c r="G418" s="77">
        <v>0</v>
      </c>
      <c r="H418" s="53">
        <f t="shared" si="464"/>
        <v>0</v>
      </c>
      <c r="I418" s="79" t="s">
        <v>1688</v>
      </c>
      <c r="J418" s="49"/>
      <c r="Z418" s="53">
        <f t="shared" si="465"/>
        <v>0</v>
      </c>
      <c r="AB418" s="53">
        <f t="shared" si="466"/>
        <v>0</v>
      </c>
      <c r="AC418" s="53">
        <f t="shared" si="467"/>
        <v>0</v>
      </c>
      <c r="AD418" s="53">
        <f t="shared" si="468"/>
        <v>0</v>
      </c>
      <c r="AE418" s="53">
        <f t="shared" si="469"/>
        <v>0</v>
      </c>
      <c r="AF418" s="53">
        <f t="shared" si="470"/>
        <v>0</v>
      </c>
      <c r="AG418" s="53">
        <f t="shared" si="471"/>
        <v>0</v>
      </c>
      <c r="AH418" s="53">
        <f t="shared" si="472"/>
        <v>0</v>
      </c>
      <c r="AI418" s="36" t="s">
        <v>10</v>
      </c>
      <c r="AJ418" s="53">
        <f t="shared" si="473"/>
        <v>0</v>
      </c>
      <c r="AK418" s="53">
        <f t="shared" si="474"/>
        <v>0</v>
      </c>
      <c r="AL418" s="53">
        <f t="shared" si="475"/>
        <v>0</v>
      </c>
      <c r="AN418" s="53">
        <v>21</v>
      </c>
      <c r="AO418" s="53">
        <f>G418*0.834450063</f>
        <v>0</v>
      </c>
      <c r="AP418" s="53">
        <f>G418*(1-0.834450063)</f>
        <v>0</v>
      </c>
      <c r="AQ418" s="54" t="s">
        <v>110</v>
      </c>
      <c r="AV418" s="53">
        <f t="shared" si="476"/>
        <v>0</v>
      </c>
      <c r="AW418" s="53">
        <f t="shared" si="477"/>
        <v>0</v>
      </c>
      <c r="AX418" s="53">
        <f t="shared" si="478"/>
        <v>0</v>
      </c>
      <c r="AY418" s="54" t="s">
        <v>1299</v>
      </c>
      <c r="AZ418" s="54" t="s">
        <v>983</v>
      </c>
      <c r="BA418" s="36" t="s">
        <v>116</v>
      </c>
      <c r="BC418" s="53">
        <f t="shared" si="479"/>
        <v>0</v>
      </c>
      <c r="BD418" s="53">
        <f t="shared" si="480"/>
        <v>0</v>
      </c>
      <c r="BE418" s="53">
        <v>0</v>
      </c>
      <c r="BF418" s="53">
        <f>418</f>
        <v>418</v>
      </c>
      <c r="BH418" s="53">
        <f t="shared" si="481"/>
        <v>0</v>
      </c>
      <c r="BI418" s="53">
        <f t="shared" si="482"/>
        <v>0</v>
      </c>
      <c r="BJ418" s="53">
        <f t="shared" si="483"/>
        <v>0</v>
      </c>
      <c r="BK418" s="54" t="s">
        <v>117</v>
      </c>
      <c r="BL418" s="53"/>
      <c r="BW418" s="53">
        <v>21</v>
      </c>
      <c r="BX418" s="3" t="s">
        <v>1320</v>
      </c>
    </row>
    <row r="419" spans="1:76" ht="23" x14ac:dyDescent="0.35">
      <c r="A419" s="1" t="s">
        <v>1321</v>
      </c>
      <c r="B419" s="2" t="s">
        <v>1322</v>
      </c>
      <c r="C419" s="91" t="s">
        <v>1323</v>
      </c>
      <c r="D419" s="88"/>
      <c r="E419" s="2" t="s">
        <v>143</v>
      </c>
      <c r="F419" s="53">
        <v>0.22</v>
      </c>
      <c r="G419" s="77">
        <v>0</v>
      </c>
      <c r="H419" s="53">
        <f t="shared" si="464"/>
        <v>0</v>
      </c>
      <c r="I419" s="79" t="s">
        <v>1688</v>
      </c>
      <c r="J419" s="49"/>
      <c r="Z419" s="53">
        <f t="shared" si="465"/>
        <v>0</v>
      </c>
      <c r="AB419" s="53">
        <f t="shared" si="466"/>
        <v>0</v>
      </c>
      <c r="AC419" s="53">
        <f t="shared" si="467"/>
        <v>0</v>
      </c>
      <c r="AD419" s="53">
        <f t="shared" si="468"/>
        <v>0</v>
      </c>
      <c r="AE419" s="53">
        <f t="shared" si="469"/>
        <v>0</v>
      </c>
      <c r="AF419" s="53">
        <f t="shared" si="470"/>
        <v>0</v>
      </c>
      <c r="AG419" s="53">
        <f t="shared" si="471"/>
        <v>0</v>
      </c>
      <c r="AH419" s="53">
        <f t="shared" si="472"/>
        <v>0</v>
      </c>
      <c r="AI419" s="36" t="s">
        <v>10</v>
      </c>
      <c r="AJ419" s="53">
        <f t="shared" si="473"/>
        <v>0</v>
      </c>
      <c r="AK419" s="53">
        <f t="shared" si="474"/>
        <v>0</v>
      </c>
      <c r="AL419" s="53">
        <f t="shared" si="475"/>
        <v>0</v>
      </c>
      <c r="AN419" s="53">
        <v>21</v>
      </c>
      <c r="AO419" s="53">
        <f>G419*0.57916</f>
        <v>0</v>
      </c>
      <c r="AP419" s="53">
        <f>G419*(1-0.57916)</f>
        <v>0</v>
      </c>
      <c r="AQ419" s="54" t="s">
        <v>110</v>
      </c>
      <c r="AV419" s="53">
        <f t="shared" si="476"/>
        <v>0</v>
      </c>
      <c r="AW419" s="53">
        <f t="shared" si="477"/>
        <v>0</v>
      </c>
      <c r="AX419" s="53">
        <f t="shared" si="478"/>
        <v>0</v>
      </c>
      <c r="AY419" s="54" t="s">
        <v>1299</v>
      </c>
      <c r="AZ419" s="54" t="s">
        <v>983</v>
      </c>
      <c r="BA419" s="36" t="s">
        <v>116</v>
      </c>
      <c r="BC419" s="53">
        <f t="shared" si="479"/>
        <v>0</v>
      </c>
      <c r="BD419" s="53">
        <f t="shared" si="480"/>
        <v>0</v>
      </c>
      <c r="BE419" s="53">
        <v>0</v>
      </c>
      <c r="BF419" s="53">
        <f>419</f>
        <v>419</v>
      </c>
      <c r="BH419" s="53">
        <f t="shared" si="481"/>
        <v>0</v>
      </c>
      <c r="BI419" s="53">
        <f t="shared" si="482"/>
        <v>0</v>
      </c>
      <c r="BJ419" s="53">
        <f t="shared" si="483"/>
        <v>0</v>
      </c>
      <c r="BK419" s="54" t="s">
        <v>117</v>
      </c>
      <c r="BL419" s="53"/>
      <c r="BW419" s="53">
        <v>21</v>
      </c>
      <c r="BX419" s="3" t="s">
        <v>1323</v>
      </c>
    </row>
    <row r="420" spans="1:76" ht="23" x14ac:dyDescent="0.35">
      <c r="A420" s="1" t="s">
        <v>1324</v>
      </c>
      <c r="B420" s="2" t="s">
        <v>1325</v>
      </c>
      <c r="C420" s="91" t="s">
        <v>1326</v>
      </c>
      <c r="D420" s="88"/>
      <c r="E420" s="2" t="s">
        <v>183</v>
      </c>
      <c r="F420" s="53">
        <v>0.01</v>
      </c>
      <c r="G420" s="77">
        <v>0</v>
      </c>
      <c r="H420" s="53">
        <f t="shared" si="464"/>
        <v>0</v>
      </c>
      <c r="I420" s="79" t="s">
        <v>1688</v>
      </c>
      <c r="J420" s="49"/>
      <c r="Z420" s="53">
        <f t="shared" si="465"/>
        <v>0</v>
      </c>
      <c r="AB420" s="53">
        <f t="shared" si="466"/>
        <v>0</v>
      </c>
      <c r="AC420" s="53">
        <f t="shared" si="467"/>
        <v>0</v>
      </c>
      <c r="AD420" s="53">
        <f t="shared" si="468"/>
        <v>0</v>
      </c>
      <c r="AE420" s="53">
        <f t="shared" si="469"/>
        <v>0</v>
      </c>
      <c r="AF420" s="53">
        <f t="shared" si="470"/>
        <v>0</v>
      </c>
      <c r="AG420" s="53">
        <f t="shared" si="471"/>
        <v>0</v>
      </c>
      <c r="AH420" s="53">
        <f t="shared" si="472"/>
        <v>0</v>
      </c>
      <c r="AI420" s="36" t="s">
        <v>10</v>
      </c>
      <c r="AJ420" s="53">
        <f t="shared" si="473"/>
        <v>0</v>
      </c>
      <c r="AK420" s="53">
        <f t="shared" si="474"/>
        <v>0</v>
      </c>
      <c r="AL420" s="53">
        <f t="shared" si="475"/>
        <v>0</v>
      </c>
      <c r="AN420" s="53">
        <v>21</v>
      </c>
      <c r="AO420" s="53">
        <f>G420*0.838990826</f>
        <v>0</v>
      </c>
      <c r="AP420" s="53">
        <f>G420*(1-0.838990826)</f>
        <v>0</v>
      </c>
      <c r="AQ420" s="54" t="s">
        <v>110</v>
      </c>
      <c r="AV420" s="53">
        <f t="shared" si="476"/>
        <v>0</v>
      </c>
      <c r="AW420" s="53">
        <f t="shared" si="477"/>
        <v>0</v>
      </c>
      <c r="AX420" s="53">
        <f t="shared" si="478"/>
        <v>0</v>
      </c>
      <c r="AY420" s="54" t="s">
        <v>1299</v>
      </c>
      <c r="AZ420" s="54" t="s">
        <v>983</v>
      </c>
      <c r="BA420" s="36" t="s">
        <v>116</v>
      </c>
      <c r="BC420" s="53">
        <f t="shared" si="479"/>
        <v>0</v>
      </c>
      <c r="BD420" s="53">
        <f t="shared" si="480"/>
        <v>0</v>
      </c>
      <c r="BE420" s="53">
        <v>0</v>
      </c>
      <c r="BF420" s="53">
        <f>420</f>
        <v>420</v>
      </c>
      <c r="BH420" s="53">
        <f t="shared" si="481"/>
        <v>0</v>
      </c>
      <c r="BI420" s="53">
        <f t="shared" si="482"/>
        <v>0</v>
      </c>
      <c r="BJ420" s="53">
        <f t="shared" si="483"/>
        <v>0</v>
      </c>
      <c r="BK420" s="54" t="s">
        <v>117</v>
      </c>
      <c r="BL420" s="53"/>
      <c r="BW420" s="53">
        <v>21</v>
      </c>
      <c r="BX420" s="3" t="s">
        <v>1326</v>
      </c>
    </row>
    <row r="421" spans="1:76" ht="14.5" x14ac:dyDescent="0.35">
      <c r="A421" s="50" t="s">
        <v>10</v>
      </c>
      <c r="B421" s="51" t="s">
        <v>1327</v>
      </c>
      <c r="C421" s="172" t="s">
        <v>1328</v>
      </c>
      <c r="D421" s="173"/>
      <c r="E421" s="52" t="s">
        <v>75</v>
      </c>
      <c r="F421" s="52" t="s">
        <v>75</v>
      </c>
      <c r="G421" s="52" t="s">
        <v>75</v>
      </c>
      <c r="H421" s="28">
        <f>SUM(H422:H432)</f>
        <v>0</v>
      </c>
      <c r="I421" s="36" t="s">
        <v>10</v>
      </c>
      <c r="J421" s="49"/>
      <c r="AI421" s="36" t="s">
        <v>10</v>
      </c>
      <c r="AS421" s="28">
        <f>SUM(AJ422:AJ432)</f>
        <v>0</v>
      </c>
      <c r="AT421" s="28">
        <f>SUM(AK422:AK432)</f>
        <v>0</v>
      </c>
      <c r="AU421" s="28">
        <f>SUM(AL422:AL432)</f>
        <v>0</v>
      </c>
    </row>
    <row r="422" spans="1:76" ht="23" x14ac:dyDescent="0.35">
      <c r="A422" s="1" t="s">
        <v>1329</v>
      </c>
      <c r="B422" s="2" t="s">
        <v>1330</v>
      </c>
      <c r="C422" s="91" t="s">
        <v>1331</v>
      </c>
      <c r="D422" s="88"/>
      <c r="E422" s="2" t="s">
        <v>414</v>
      </c>
      <c r="F422" s="53">
        <v>1</v>
      </c>
      <c r="G422" s="77">
        <v>0</v>
      </c>
      <c r="H422" s="53">
        <f t="shared" ref="H422:H432" si="484">ROUND(F422*G422,2)</f>
        <v>0</v>
      </c>
      <c r="I422" s="79" t="s">
        <v>1688</v>
      </c>
      <c r="J422" s="49"/>
      <c r="Z422" s="53">
        <f t="shared" ref="Z422:Z432" si="485">ROUND(IF(AQ422="5",BJ422,0),2)</f>
        <v>0</v>
      </c>
      <c r="AB422" s="53">
        <f t="shared" ref="AB422:AB432" si="486">ROUND(IF(AQ422="1",BH422,0),2)</f>
        <v>0</v>
      </c>
      <c r="AC422" s="53">
        <f t="shared" ref="AC422:AC432" si="487">ROUND(IF(AQ422="1",BI422,0),2)</f>
        <v>0</v>
      </c>
      <c r="AD422" s="53">
        <f t="shared" ref="AD422:AD432" si="488">ROUND(IF(AQ422="7",BH422,0),2)</f>
        <v>0</v>
      </c>
      <c r="AE422" s="53">
        <f t="shared" ref="AE422:AE432" si="489">ROUND(IF(AQ422="7",BI422,0),2)</f>
        <v>0</v>
      </c>
      <c r="AF422" s="53">
        <f t="shared" ref="AF422:AF432" si="490">ROUND(IF(AQ422="2",BH422,0),2)</f>
        <v>0</v>
      </c>
      <c r="AG422" s="53">
        <f t="shared" ref="AG422:AG432" si="491">ROUND(IF(AQ422="2",BI422,0),2)</f>
        <v>0</v>
      </c>
      <c r="AH422" s="53">
        <f t="shared" ref="AH422:AH432" si="492">ROUND(IF(AQ422="0",BJ422,0),2)</f>
        <v>0</v>
      </c>
      <c r="AI422" s="36" t="s">
        <v>10</v>
      </c>
      <c r="AJ422" s="53">
        <f t="shared" ref="AJ422:AJ432" si="493">IF(AN422=0,H422,0)</f>
        <v>0</v>
      </c>
      <c r="AK422" s="53">
        <f t="shared" ref="AK422:AK432" si="494">IF(AN422=12,H422,0)</f>
        <v>0</v>
      </c>
      <c r="AL422" s="53">
        <f t="shared" ref="AL422:AL432" si="495">IF(AN422=21,H422,0)</f>
        <v>0</v>
      </c>
      <c r="AN422" s="53">
        <v>21</v>
      </c>
      <c r="AO422" s="53">
        <f>G422*0.835389798</f>
        <v>0</v>
      </c>
      <c r="AP422" s="53">
        <f>G422*(1-0.835389798)</f>
        <v>0</v>
      </c>
      <c r="AQ422" s="54" t="s">
        <v>118</v>
      </c>
      <c r="AV422" s="53">
        <f t="shared" ref="AV422:AV432" si="496">ROUND(AW422+AX422,2)</f>
        <v>0</v>
      </c>
      <c r="AW422" s="53">
        <f t="shared" ref="AW422:AW432" si="497">ROUND(F422*AO422,2)</f>
        <v>0</v>
      </c>
      <c r="AX422" s="53">
        <f t="shared" ref="AX422:AX432" si="498">ROUND(F422*AP422,2)</f>
        <v>0</v>
      </c>
      <c r="AY422" s="54" t="s">
        <v>1332</v>
      </c>
      <c r="AZ422" s="54" t="s">
        <v>983</v>
      </c>
      <c r="BA422" s="36" t="s">
        <v>116</v>
      </c>
      <c r="BC422" s="53">
        <f t="shared" ref="BC422:BC432" si="499">AW422+AX422</f>
        <v>0</v>
      </c>
      <c r="BD422" s="53">
        <f t="shared" ref="BD422:BD432" si="500">G422/(100-BE422)*100</f>
        <v>0</v>
      </c>
      <c r="BE422" s="53">
        <v>0</v>
      </c>
      <c r="BF422" s="53">
        <f>422</f>
        <v>422</v>
      </c>
      <c r="BH422" s="53">
        <f t="shared" ref="BH422:BH432" si="501">F422*AO422</f>
        <v>0</v>
      </c>
      <c r="BI422" s="53">
        <f t="shared" ref="BI422:BI432" si="502">F422*AP422</f>
        <v>0</v>
      </c>
      <c r="BJ422" s="53">
        <f t="shared" ref="BJ422:BJ432" si="503">F422*G422</f>
        <v>0</v>
      </c>
      <c r="BK422" s="54" t="s">
        <v>117</v>
      </c>
      <c r="BL422" s="53"/>
      <c r="BW422" s="53">
        <v>21</v>
      </c>
      <c r="BX422" s="3" t="s">
        <v>1331</v>
      </c>
    </row>
    <row r="423" spans="1:76" ht="25" x14ac:dyDescent="0.35">
      <c r="A423" s="1" t="s">
        <v>1333</v>
      </c>
      <c r="B423" s="2" t="s">
        <v>1334</v>
      </c>
      <c r="C423" s="91" t="s">
        <v>1335</v>
      </c>
      <c r="D423" s="88"/>
      <c r="E423" s="2" t="s">
        <v>424</v>
      </c>
      <c r="F423" s="53">
        <v>10</v>
      </c>
      <c r="G423" s="77">
        <v>0</v>
      </c>
      <c r="H423" s="53">
        <f t="shared" si="484"/>
        <v>0</v>
      </c>
      <c r="I423" s="79" t="s">
        <v>1688</v>
      </c>
      <c r="J423" s="49"/>
      <c r="Z423" s="53">
        <f t="shared" si="485"/>
        <v>0</v>
      </c>
      <c r="AB423" s="53">
        <f t="shared" si="486"/>
        <v>0</v>
      </c>
      <c r="AC423" s="53">
        <f t="shared" si="487"/>
        <v>0</v>
      </c>
      <c r="AD423" s="53">
        <f t="shared" si="488"/>
        <v>0</v>
      </c>
      <c r="AE423" s="53">
        <f t="shared" si="489"/>
        <v>0</v>
      </c>
      <c r="AF423" s="53">
        <f t="shared" si="490"/>
        <v>0</v>
      </c>
      <c r="AG423" s="53">
        <f t="shared" si="491"/>
        <v>0</v>
      </c>
      <c r="AH423" s="53">
        <f t="shared" si="492"/>
        <v>0</v>
      </c>
      <c r="AI423" s="36" t="s">
        <v>10</v>
      </c>
      <c r="AJ423" s="53">
        <f t="shared" si="493"/>
        <v>0</v>
      </c>
      <c r="AK423" s="53">
        <f t="shared" si="494"/>
        <v>0</v>
      </c>
      <c r="AL423" s="53">
        <f t="shared" si="495"/>
        <v>0</v>
      </c>
      <c r="AN423" s="53">
        <v>21</v>
      </c>
      <c r="AO423" s="53">
        <f>G423*0.856120155</f>
        <v>0</v>
      </c>
      <c r="AP423" s="53">
        <f>G423*(1-0.856120155)</f>
        <v>0</v>
      </c>
      <c r="AQ423" s="54" t="s">
        <v>118</v>
      </c>
      <c r="AV423" s="53">
        <f t="shared" si="496"/>
        <v>0</v>
      </c>
      <c r="AW423" s="53">
        <f t="shared" si="497"/>
        <v>0</v>
      </c>
      <c r="AX423" s="53">
        <f t="shared" si="498"/>
        <v>0</v>
      </c>
      <c r="AY423" s="54" t="s">
        <v>1332</v>
      </c>
      <c r="AZ423" s="54" t="s">
        <v>983</v>
      </c>
      <c r="BA423" s="36" t="s">
        <v>116</v>
      </c>
      <c r="BC423" s="53">
        <f t="shared" si="499"/>
        <v>0</v>
      </c>
      <c r="BD423" s="53">
        <f t="shared" si="500"/>
        <v>0</v>
      </c>
      <c r="BE423" s="53">
        <v>0</v>
      </c>
      <c r="BF423" s="53">
        <f>423</f>
        <v>423</v>
      </c>
      <c r="BH423" s="53">
        <f t="shared" si="501"/>
        <v>0</v>
      </c>
      <c r="BI423" s="53">
        <f t="shared" si="502"/>
        <v>0</v>
      </c>
      <c r="BJ423" s="53">
        <f t="shared" si="503"/>
        <v>0</v>
      </c>
      <c r="BK423" s="54" t="s">
        <v>117</v>
      </c>
      <c r="BL423" s="53"/>
      <c r="BW423" s="53">
        <v>21</v>
      </c>
      <c r="BX423" s="3" t="s">
        <v>1335</v>
      </c>
    </row>
    <row r="424" spans="1:76" ht="23" x14ac:dyDescent="0.35">
      <c r="A424" s="1" t="s">
        <v>1336</v>
      </c>
      <c r="B424" s="2" t="s">
        <v>1337</v>
      </c>
      <c r="C424" s="91" t="s">
        <v>1338</v>
      </c>
      <c r="D424" s="88"/>
      <c r="E424" s="2" t="s">
        <v>424</v>
      </c>
      <c r="F424" s="53">
        <v>1</v>
      </c>
      <c r="G424" s="77">
        <v>0</v>
      </c>
      <c r="H424" s="53">
        <f t="shared" si="484"/>
        <v>0</v>
      </c>
      <c r="I424" s="79" t="s">
        <v>1688</v>
      </c>
      <c r="J424" s="49"/>
      <c r="Z424" s="53">
        <f t="shared" si="485"/>
        <v>0</v>
      </c>
      <c r="AB424" s="53">
        <f t="shared" si="486"/>
        <v>0</v>
      </c>
      <c r="AC424" s="53">
        <f t="shared" si="487"/>
        <v>0</v>
      </c>
      <c r="AD424" s="53">
        <f t="shared" si="488"/>
        <v>0</v>
      </c>
      <c r="AE424" s="53">
        <f t="shared" si="489"/>
        <v>0</v>
      </c>
      <c r="AF424" s="53">
        <f t="shared" si="490"/>
        <v>0</v>
      </c>
      <c r="AG424" s="53">
        <f t="shared" si="491"/>
        <v>0</v>
      </c>
      <c r="AH424" s="53">
        <f t="shared" si="492"/>
        <v>0</v>
      </c>
      <c r="AI424" s="36" t="s">
        <v>10</v>
      </c>
      <c r="AJ424" s="53">
        <f t="shared" si="493"/>
        <v>0</v>
      </c>
      <c r="AK424" s="53">
        <f t="shared" si="494"/>
        <v>0</v>
      </c>
      <c r="AL424" s="53">
        <f t="shared" si="495"/>
        <v>0</v>
      </c>
      <c r="AN424" s="53">
        <v>21</v>
      </c>
      <c r="AO424" s="53">
        <f>G424*0.848114376</f>
        <v>0</v>
      </c>
      <c r="AP424" s="53">
        <f>G424*(1-0.848114376)</f>
        <v>0</v>
      </c>
      <c r="AQ424" s="54" t="s">
        <v>118</v>
      </c>
      <c r="AV424" s="53">
        <f t="shared" si="496"/>
        <v>0</v>
      </c>
      <c r="AW424" s="53">
        <f t="shared" si="497"/>
        <v>0</v>
      </c>
      <c r="AX424" s="53">
        <f t="shared" si="498"/>
        <v>0</v>
      </c>
      <c r="AY424" s="54" t="s">
        <v>1332</v>
      </c>
      <c r="AZ424" s="54" t="s">
        <v>983</v>
      </c>
      <c r="BA424" s="36" t="s">
        <v>116</v>
      </c>
      <c r="BC424" s="53">
        <f t="shared" si="499"/>
        <v>0</v>
      </c>
      <c r="BD424" s="53">
        <f t="shared" si="500"/>
        <v>0</v>
      </c>
      <c r="BE424" s="53">
        <v>0</v>
      </c>
      <c r="BF424" s="53">
        <f>424</f>
        <v>424</v>
      </c>
      <c r="BH424" s="53">
        <f t="shared" si="501"/>
        <v>0</v>
      </c>
      <c r="BI424" s="53">
        <f t="shared" si="502"/>
        <v>0</v>
      </c>
      <c r="BJ424" s="53">
        <f t="shared" si="503"/>
        <v>0</v>
      </c>
      <c r="BK424" s="54" t="s">
        <v>117</v>
      </c>
      <c r="BL424" s="53"/>
      <c r="BW424" s="53">
        <v>21</v>
      </c>
      <c r="BX424" s="3" t="s">
        <v>1338</v>
      </c>
    </row>
    <row r="425" spans="1:76" ht="23" x14ac:dyDescent="0.35">
      <c r="A425" s="1" t="s">
        <v>1339</v>
      </c>
      <c r="B425" s="2" t="s">
        <v>1340</v>
      </c>
      <c r="C425" s="91" t="s">
        <v>1341</v>
      </c>
      <c r="D425" s="88"/>
      <c r="E425" s="2" t="s">
        <v>424</v>
      </c>
      <c r="F425" s="53">
        <v>1</v>
      </c>
      <c r="G425" s="77">
        <v>0</v>
      </c>
      <c r="H425" s="53">
        <f t="shared" si="484"/>
        <v>0</v>
      </c>
      <c r="I425" s="79" t="s">
        <v>1688</v>
      </c>
      <c r="J425" s="49"/>
      <c r="Z425" s="53">
        <f t="shared" si="485"/>
        <v>0</v>
      </c>
      <c r="AB425" s="53">
        <f t="shared" si="486"/>
        <v>0</v>
      </c>
      <c r="AC425" s="53">
        <f t="shared" si="487"/>
        <v>0</v>
      </c>
      <c r="AD425" s="53">
        <f t="shared" si="488"/>
        <v>0</v>
      </c>
      <c r="AE425" s="53">
        <f t="shared" si="489"/>
        <v>0</v>
      </c>
      <c r="AF425" s="53">
        <f t="shared" si="490"/>
        <v>0</v>
      </c>
      <c r="AG425" s="53">
        <f t="shared" si="491"/>
        <v>0</v>
      </c>
      <c r="AH425" s="53">
        <f t="shared" si="492"/>
        <v>0</v>
      </c>
      <c r="AI425" s="36" t="s">
        <v>10</v>
      </c>
      <c r="AJ425" s="53">
        <f t="shared" si="493"/>
        <v>0</v>
      </c>
      <c r="AK425" s="53">
        <f t="shared" si="494"/>
        <v>0</v>
      </c>
      <c r="AL425" s="53">
        <f t="shared" si="495"/>
        <v>0</v>
      </c>
      <c r="AN425" s="53">
        <v>21</v>
      </c>
      <c r="AO425" s="53">
        <f>G425*0.864188224</f>
        <v>0</v>
      </c>
      <c r="AP425" s="53">
        <f>G425*(1-0.864188224)</f>
        <v>0</v>
      </c>
      <c r="AQ425" s="54" t="s">
        <v>118</v>
      </c>
      <c r="AV425" s="53">
        <f t="shared" si="496"/>
        <v>0</v>
      </c>
      <c r="AW425" s="53">
        <f t="shared" si="497"/>
        <v>0</v>
      </c>
      <c r="AX425" s="53">
        <f t="shared" si="498"/>
        <v>0</v>
      </c>
      <c r="AY425" s="54" t="s">
        <v>1332</v>
      </c>
      <c r="AZ425" s="54" t="s">
        <v>983</v>
      </c>
      <c r="BA425" s="36" t="s">
        <v>116</v>
      </c>
      <c r="BC425" s="53">
        <f t="shared" si="499"/>
        <v>0</v>
      </c>
      <c r="BD425" s="53">
        <f t="shared" si="500"/>
        <v>0</v>
      </c>
      <c r="BE425" s="53">
        <v>0</v>
      </c>
      <c r="BF425" s="53">
        <f>425</f>
        <v>425</v>
      </c>
      <c r="BH425" s="53">
        <f t="shared" si="501"/>
        <v>0</v>
      </c>
      <c r="BI425" s="53">
        <f t="shared" si="502"/>
        <v>0</v>
      </c>
      <c r="BJ425" s="53">
        <f t="shared" si="503"/>
        <v>0</v>
      </c>
      <c r="BK425" s="54" t="s">
        <v>117</v>
      </c>
      <c r="BL425" s="53"/>
      <c r="BW425" s="53">
        <v>21</v>
      </c>
      <c r="BX425" s="3" t="s">
        <v>1341</v>
      </c>
    </row>
    <row r="426" spans="1:76" ht="25" x14ac:dyDescent="0.35">
      <c r="A426" s="1" t="s">
        <v>1342</v>
      </c>
      <c r="B426" s="2" t="s">
        <v>1343</v>
      </c>
      <c r="C426" s="91" t="s">
        <v>1344</v>
      </c>
      <c r="D426" s="88"/>
      <c r="E426" s="2" t="s">
        <v>424</v>
      </c>
      <c r="F426" s="53">
        <v>1</v>
      </c>
      <c r="G426" s="77">
        <v>0</v>
      </c>
      <c r="H426" s="53">
        <f t="shared" si="484"/>
        <v>0</v>
      </c>
      <c r="I426" s="79" t="s">
        <v>1688</v>
      </c>
      <c r="J426" s="49"/>
      <c r="Z426" s="53">
        <f t="shared" si="485"/>
        <v>0</v>
      </c>
      <c r="AB426" s="53">
        <f t="shared" si="486"/>
        <v>0</v>
      </c>
      <c r="AC426" s="53">
        <f t="shared" si="487"/>
        <v>0</v>
      </c>
      <c r="AD426" s="53">
        <f t="shared" si="488"/>
        <v>0</v>
      </c>
      <c r="AE426" s="53">
        <f t="shared" si="489"/>
        <v>0</v>
      </c>
      <c r="AF426" s="53">
        <f t="shared" si="490"/>
        <v>0</v>
      </c>
      <c r="AG426" s="53">
        <f t="shared" si="491"/>
        <v>0</v>
      </c>
      <c r="AH426" s="53">
        <f t="shared" si="492"/>
        <v>0</v>
      </c>
      <c r="AI426" s="36" t="s">
        <v>10</v>
      </c>
      <c r="AJ426" s="53">
        <f t="shared" si="493"/>
        <v>0</v>
      </c>
      <c r="AK426" s="53">
        <f t="shared" si="494"/>
        <v>0</v>
      </c>
      <c r="AL426" s="53">
        <f t="shared" si="495"/>
        <v>0</v>
      </c>
      <c r="AN426" s="53">
        <v>21</v>
      </c>
      <c r="AO426" s="53">
        <f>G426*0.873874549</f>
        <v>0</v>
      </c>
      <c r="AP426" s="53">
        <f>G426*(1-0.873874549)</f>
        <v>0</v>
      </c>
      <c r="AQ426" s="54" t="s">
        <v>118</v>
      </c>
      <c r="AV426" s="53">
        <f t="shared" si="496"/>
        <v>0</v>
      </c>
      <c r="AW426" s="53">
        <f t="shared" si="497"/>
        <v>0</v>
      </c>
      <c r="AX426" s="53">
        <f t="shared" si="498"/>
        <v>0</v>
      </c>
      <c r="AY426" s="54" t="s">
        <v>1332</v>
      </c>
      <c r="AZ426" s="54" t="s">
        <v>983</v>
      </c>
      <c r="BA426" s="36" t="s">
        <v>116</v>
      </c>
      <c r="BC426" s="53">
        <f t="shared" si="499"/>
        <v>0</v>
      </c>
      <c r="BD426" s="53">
        <f t="shared" si="500"/>
        <v>0</v>
      </c>
      <c r="BE426" s="53">
        <v>0</v>
      </c>
      <c r="BF426" s="53">
        <f>426</f>
        <v>426</v>
      </c>
      <c r="BH426" s="53">
        <f t="shared" si="501"/>
        <v>0</v>
      </c>
      <c r="BI426" s="53">
        <f t="shared" si="502"/>
        <v>0</v>
      </c>
      <c r="BJ426" s="53">
        <f t="shared" si="503"/>
        <v>0</v>
      </c>
      <c r="BK426" s="54" t="s">
        <v>117</v>
      </c>
      <c r="BL426" s="53"/>
      <c r="BW426" s="53">
        <v>21</v>
      </c>
      <c r="BX426" s="3" t="s">
        <v>1344</v>
      </c>
    </row>
    <row r="427" spans="1:76" ht="23" x14ac:dyDescent="0.35">
      <c r="A427" s="1" t="s">
        <v>1345</v>
      </c>
      <c r="B427" s="2" t="s">
        <v>1346</v>
      </c>
      <c r="C427" s="91" t="s">
        <v>1347</v>
      </c>
      <c r="D427" s="88"/>
      <c r="E427" s="2" t="s">
        <v>424</v>
      </c>
      <c r="F427" s="53">
        <v>3</v>
      </c>
      <c r="G427" s="77">
        <v>0</v>
      </c>
      <c r="H427" s="53">
        <f t="shared" si="484"/>
        <v>0</v>
      </c>
      <c r="I427" s="79" t="s">
        <v>1688</v>
      </c>
      <c r="J427" s="49"/>
      <c r="Z427" s="53">
        <f t="shared" si="485"/>
        <v>0</v>
      </c>
      <c r="AB427" s="53">
        <f t="shared" si="486"/>
        <v>0</v>
      </c>
      <c r="AC427" s="53">
        <f t="shared" si="487"/>
        <v>0</v>
      </c>
      <c r="AD427" s="53">
        <f t="shared" si="488"/>
        <v>0</v>
      </c>
      <c r="AE427" s="53">
        <f t="shared" si="489"/>
        <v>0</v>
      </c>
      <c r="AF427" s="53">
        <f t="shared" si="490"/>
        <v>0</v>
      </c>
      <c r="AG427" s="53">
        <f t="shared" si="491"/>
        <v>0</v>
      </c>
      <c r="AH427" s="53">
        <f t="shared" si="492"/>
        <v>0</v>
      </c>
      <c r="AI427" s="36" t="s">
        <v>10</v>
      </c>
      <c r="AJ427" s="53">
        <f t="shared" si="493"/>
        <v>0</v>
      </c>
      <c r="AK427" s="53">
        <f t="shared" si="494"/>
        <v>0</v>
      </c>
      <c r="AL427" s="53">
        <f t="shared" si="495"/>
        <v>0</v>
      </c>
      <c r="AN427" s="53">
        <v>21</v>
      </c>
      <c r="AO427" s="53">
        <f>G427*0.833347066</f>
        <v>0</v>
      </c>
      <c r="AP427" s="53">
        <f>G427*(1-0.833347066)</f>
        <v>0</v>
      </c>
      <c r="AQ427" s="54" t="s">
        <v>118</v>
      </c>
      <c r="AV427" s="53">
        <f t="shared" si="496"/>
        <v>0</v>
      </c>
      <c r="AW427" s="53">
        <f t="shared" si="497"/>
        <v>0</v>
      </c>
      <c r="AX427" s="53">
        <f t="shared" si="498"/>
        <v>0</v>
      </c>
      <c r="AY427" s="54" t="s">
        <v>1332</v>
      </c>
      <c r="AZ427" s="54" t="s">
        <v>983</v>
      </c>
      <c r="BA427" s="36" t="s">
        <v>116</v>
      </c>
      <c r="BC427" s="53">
        <f t="shared" si="499"/>
        <v>0</v>
      </c>
      <c r="BD427" s="53">
        <f t="shared" si="500"/>
        <v>0</v>
      </c>
      <c r="BE427" s="53">
        <v>0</v>
      </c>
      <c r="BF427" s="53">
        <f>427</f>
        <v>427</v>
      </c>
      <c r="BH427" s="53">
        <f t="shared" si="501"/>
        <v>0</v>
      </c>
      <c r="BI427" s="53">
        <f t="shared" si="502"/>
        <v>0</v>
      </c>
      <c r="BJ427" s="53">
        <f t="shared" si="503"/>
        <v>0</v>
      </c>
      <c r="BK427" s="54" t="s">
        <v>117</v>
      </c>
      <c r="BL427" s="53"/>
      <c r="BW427" s="53">
        <v>21</v>
      </c>
      <c r="BX427" s="3" t="s">
        <v>1347</v>
      </c>
    </row>
    <row r="428" spans="1:76" ht="23" x14ac:dyDescent="0.35">
      <c r="A428" s="1" t="s">
        <v>1348</v>
      </c>
      <c r="B428" s="2" t="s">
        <v>1349</v>
      </c>
      <c r="C428" s="91" t="s">
        <v>1350</v>
      </c>
      <c r="D428" s="88"/>
      <c r="E428" s="2" t="s">
        <v>424</v>
      </c>
      <c r="F428" s="53">
        <v>1</v>
      </c>
      <c r="G428" s="77">
        <v>0</v>
      </c>
      <c r="H428" s="53">
        <f t="shared" si="484"/>
        <v>0</v>
      </c>
      <c r="I428" s="79" t="s">
        <v>1688</v>
      </c>
      <c r="J428" s="49"/>
      <c r="Z428" s="53">
        <f t="shared" si="485"/>
        <v>0</v>
      </c>
      <c r="AB428" s="53">
        <f t="shared" si="486"/>
        <v>0</v>
      </c>
      <c r="AC428" s="53">
        <f t="shared" si="487"/>
        <v>0</v>
      </c>
      <c r="AD428" s="53">
        <f t="shared" si="488"/>
        <v>0</v>
      </c>
      <c r="AE428" s="53">
        <f t="shared" si="489"/>
        <v>0</v>
      </c>
      <c r="AF428" s="53">
        <f t="shared" si="490"/>
        <v>0</v>
      </c>
      <c r="AG428" s="53">
        <f t="shared" si="491"/>
        <v>0</v>
      </c>
      <c r="AH428" s="53">
        <f t="shared" si="492"/>
        <v>0</v>
      </c>
      <c r="AI428" s="36" t="s">
        <v>10</v>
      </c>
      <c r="AJ428" s="53">
        <f t="shared" si="493"/>
        <v>0</v>
      </c>
      <c r="AK428" s="53">
        <f t="shared" si="494"/>
        <v>0</v>
      </c>
      <c r="AL428" s="53">
        <f t="shared" si="495"/>
        <v>0</v>
      </c>
      <c r="AN428" s="53">
        <v>21</v>
      </c>
      <c r="AO428" s="53">
        <f>G428*0.877854486</f>
        <v>0</v>
      </c>
      <c r="AP428" s="53">
        <f>G428*(1-0.877854486)</f>
        <v>0</v>
      </c>
      <c r="AQ428" s="54" t="s">
        <v>118</v>
      </c>
      <c r="AV428" s="53">
        <f t="shared" si="496"/>
        <v>0</v>
      </c>
      <c r="AW428" s="53">
        <f t="shared" si="497"/>
        <v>0</v>
      </c>
      <c r="AX428" s="53">
        <f t="shared" si="498"/>
        <v>0</v>
      </c>
      <c r="AY428" s="54" t="s">
        <v>1332</v>
      </c>
      <c r="AZ428" s="54" t="s">
        <v>983</v>
      </c>
      <c r="BA428" s="36" t="s">
        <v>116</v>
      </c>
      <c r="BC428" s="53">
        <f t="shared" si="499"/>
        <v>0</v>
      </c>
      <c r="BD428" s="53">
        <f t="shared" si="500"/>
        <v>0</v>
      </c>
      <c r="BE428" s="53">
        <v>0</v>
      </c>
      <c r="BF428" s="53">
        <f>428</f>
        <v>428</v>
      </c>
      <c r="BH428" s="53">
        <f t="shared" si="501"/>
        <v>0</v>
      </c>
      <c r="BI428" s="53">
        <f t="shared" si="502"/>
        <v>0</v>
      </c>
      <c r="BJ428" s="53">
        <f t="shared" si="503"/>
        <v>0</v>
      </c>
      <c r="BK428" s="54" t="s">
        <v>117</v>
      </c>
      <c r="BL428" s="53"/>
      <c r="BW428" s="53">
        <v>21</v>
      </c>
      <c r="BX428" s="3" t="s">
        <v>1350</v>
      </c>
    </row>
    <row r="429" spans="1:76" ht="23" x14ac:dyDescent="0.35">
      <c r="A429" s="1" t="s">
        <v>1351</v>
      </c>
      <c r="B429" s="2" t="s">
        <v>1352</v>
      </c>
      <c r="C429" s="91" t="s">
        <v>1353</v>
      </c>
      <c r="D429" s="88"/>
      <c r="E429" s="2" t="s">
        <v>424</v>
      </c>
      <c r="F429" s="53">
        <v>1</v>
      </c>
      <c r="G429" s="77">
        <v>0</v>
      </c>
      <c r="H429" s="53">
        <f t="shared" si="484"/>
        <v>0</v>
      </c>
      <c r="I429" s="79" t="s">
        <v>1688</v>
      </c>
      <c r="J429" s="49"/>
      <c r="Z429" s="53">
        <f t="shared" si="485"/>
        <v>0</v>
      </c>
      <c r="AB429" s="53">
        <f t="shared" si="486"/>
        <v>0</v>
      </c>
      <c r="AC429" s="53">
        <f t="shared" si="487"/>
        <v>0</v>
      </c>
      <c r="AD429" s="53">
        <f t="shared" si="488"/>
        <v>0</v>
      </c>
      <c r="AE429" s="53">
        <f t="shared" si="489"/>
        <v>0</v>
      </c>
      <c r="AF429" s="53">
        <f t="shared" si="490"/>
        <v>0</v>
      </c>
      <c r="AG429" s="53">
        <f t="shared" si="491"/>
        <v>0</v>
      </c>
      <c r="AH429" s="53">
        <f t="shared" si="492"/>
        <v>0</v>
      </c>
      <c r="AI429" s="36" t="s">
        <v>10</v>
      </c>
      <c r="AJ429" s="53">
        <f t="shared" si="493"/>
        <v>0</v>
      </c>
      <c r="AK429" s="53">
        <f t="shared" si="494"/>
        <v>0</v>
      </c>
      <c r="AL429" s="53">
        <f t="shared" si="495"/>
        <v>0</v>
      </c>
      <c r="AN429" s="53">
        <v>21</v>
      </c>
      <c r="AO429" s="53">
        <f>G429*0.999994166</f>
        <v>0</v>
      </c>
      <c r="AP429" s="53">
        <f>G429*(1-0.999994166)</f>
        <v>0</v>
      </c>
      <c r="AQ429" s="54" t="s">
        <v>118</v>
      </c>
      <c r="AV429" s="53">
        <f t="shared" si="496"/>
        <v>0</v>
      </c>
      <c r="AW429" s="53">
        <f t="shared" si="497"/>
        <v>0</v>
      </c>
      <c r="AX429" s="53">
        <f t="shared" si="498"/>
        <v>0</v>
      </c>
      <c r="AY429" s="54" t="s">
        <v>1332</v>
      </c>
      <c r="AZ429" s="54" t="s">
        <v>983</v>
      </c>
      <c r="BA429" s="36" t="s">
        <v>116</v>
      </c>
      <c r="BC429" s="53">
        <f t="shared" si="499"/>
        <v>0</v>
      </c>
      <c r="BD429" s="53">
        <f t="shared" si="500"/>
        <v>0</v>
      </c>
      <c r="BE429" s="53">
        <v>0</v>
      </c>
      <c r="BF429" s="53">
        <f>429</f>
        <v>429</v>
      </c>
      <c r="BH429" s="53">
        <f t="shared" si="501"/>
        <v>0</v>
      </c>
      <c r="BI429" s="53">
        <f t="shared" si="502"/>
        <v>0</v>
      </c>
      <c r="BJ429" s="53">
        <f t="shared" si="503"/>
        <v>0</v>
      </c>
      <c r="BK429" s="54" t="s">
        <v>117</v>
      </c>
      <c r="BL429" s="53"/>
      <c r="BW429" s="53">
        <v>21</v>
      </c>
      <c r="BX429" s="3" t="s">
        <v>1353</v>
      </c>
    </row>
    <row r="430" spans="1:76" ht="25" x14ac:dyDescent="0.35">
      <c r="A430" s="1" t="s">
        <v>1354</v>
      </c>
      <c r="B430" s="2" t="s">
        <v>1355</v>
      </c>
      <c r="C430" s="91" t="s">
        <v>1356</v>
      </c>
      <c r="D430" s="88"/>
      <c r="E430" s="2" t="s">
        <v>424</v>
      </c>
      <c r="F430" s="53">
        <v>1</v>
      </c>
      <c r="G430" s="77">
        <v>0</v>
      </c>
      <c r="H430" s="53">
        <f t="shared" si="484"/>
        <v>0</v>
      </c>
      <c r="I430" s="79" t="s">
        <v>1688</v>
      </c>
      <c r="J430" s="49"/>
      <c r="Z430" s="53">
        <f t="shared" si="485"/>
        <v>0</v>
      </c>
      <c r="AB430" s="53">
        <f t="shared" si="486"/>
        <v>0</v>
      </c>
      <c r="AC430" s="53">
        <f t="shared" si="487"/>
        <v>0</v>
      </c>
      <c r="AD430" s="53">
        <f t="shared" si="488"/>
        <v>0</v>
      </c>
      <c r="AE430" s="53">
        <f t="shared" si="489"/>
        <v>0</v>
      </c>
      <c r="AF430" s="53">
        <f t="shared" si="490"/>
        <v>0</v>
      </c>
      <c r="AG430" s="53">
        <f t="shared" si="491"/>
        <v>0</v>
      </c>
      <c r="AH430" s="53">
        <f t="shared" si="492"/>
        <v>0</v>
      </c>
      <c r="AI430" s="36" t="s">
        <v>10</v>
      </c>
      <c r="AJ430" s="53">
        <f t="shared" si="493"/>
        <v>0</v>
      </c>
      <c r="AK430" s="53">
        <f t="shared" si="494"/>
        <v>0</v>
      </c>
      <c r="AL430" s="53">
        <f t="shared" si="495"/>
        <v>0</v>
      </c>
      <c r="AN430" s="53">
        <v>21</v>
      </c>
      <c r="AO430" s="53">
        <f>G430*0</f>
        <v>0</v>
      </c>
      <c r="AP430" s="53">
        <f>G430*(1-0)</f>
        <v>0</v>
      </c>
      <c r="AQ430" s="54" t="s">
        <v>118</v>
      </c>
      <c r="AV430" s="53">
        <f t="shared" si="496"/>
        <v>0</v>
      </c>
      <c r="AW430" s="53">
        <f t="shared" si="497"/>
        <v>0</v>
      </c>
      <c r="AX430" s="53">
        <f t="shared" si="498"/>
        <v>0</v>
      </c>
      <c r="AY430" s="54" t="s">
        <v>1332</v>
      </c>
      <c r="AZ430" s="54" t="s">
        <v>983</v>
      </c>
      <c r="BA430" s="36" t="s">
        <v>116</v>
      </c>
      <c r="BC430" s="53">
        <f t="shared" si="499"/>
        <v>0</v>
      </c>
      <c r="BD430" s="53">
        <f t="shared" si="500"/>
        <v>0</v>
      </c>
      <c r="BE430" s="53">
        <v>0</v>
      </c>
      <c r="BF430" s="53">
        <f>430</f>
        <v>430</v>
      </c>
      <c r="BH430" s="53">
        <f t="shared" si="501"/>
        <v>0</v>
      </c>
      <c r="BI430" s="53">
        <f t="shared" si="502"/>
        <v>0</v>
      </c>
      <c r="BJ430" s="53">
        <f t="shared" si="503"/>
        <v>0</v>
      </c>
      <c r="BK430" s="54" t="s">
        <v>117</v>
      </c>
      <c r="BL430" s="53"/>
      <c r="BW430" s="53">
        <v>21</v>
      </c>
      <c r="BX430" s="3" t="s">
        <v>1356</v>
      </c>
    </row>
    <row r="431" spans="1:76" ht="23" x14ac:dyDescent="0.35">
      <c r="A431" s="1" t="s">
        <v>1357</v>
      </c>
      <c r="B431" s="2" t="s">
        <v>1358</v>
      </c>
      <c r="C431" s="91" t="s">
        <v>1359</v>
      </c>
      <c r="D431" s="88"/>
      <c r="E431" s="2" t="s">
        <v>10</v>
      </c>
      <c r="F431" s="53">
        <v>1</v>
      </c>
      <c r="G431" s="77">
        <v>0</v>
      </c>
      <c r="H431" s="53">
        <f t="shared" si="484"/>
        <v>0</v>
      </c>
      <c r="I431" s="79" t="s">
        <v>1688</v>
      </c>
      <c r="J431" s="49"/>
      <c r="Z431" s="53">
        <f t="shared" si="485"/>
        <v>0</v>
      </c>
      <c r="AB431" s="53">
        <f t="shared" si="486"/>
        <v>0</v>
      </c>
      <c r="AC431" s="53">
        <f t="shared" si="487"/>
        <v>0</v>
      </c>
      <c r="AD431" s="53">
        <f t="shared" si="488"/>
        <v>0</v>
      </c>
      <c r="AE431" s="53">
        <f t="shared" si="489"/>
        <v>0</v>
      </c>
      <c r="AF431" s="53">
        <f t="shared" si="490"/>
        <v>0</v>
      </c>
      <c r="AG431" s="53">
        <f t="shared" si="491"/>
        <v>0</v>
      </c>
      <c r="AH431" s="53">
        <f t="shared" si="492"/>
        <v>0</v>
      </c>
      <c r="AI431" s="36" t="s">
        <v>10</v>
      </c>
      <c r="AJ431" s="53">
        <f t="shared" si="493"/>
        <v>0</v>
      </c>
      <c r="AK431" s="53">
        <f t="shared" si="494"/>
        <v>0</v>
      </c>
      <c r="AL431" s="53">
        <f t="shared" si="495"/>
        <v>0</v>
      </c>
      <c r="AN431" s="53">
        <v>21</v>
      </c>
      <c r="AO431" s="53">
        <f>G431*1.000002512</f>
        <v>0</v>
      </c>
      <c r="AP431" s="53">
        <f>G431*(1-1.000002512)</f>
        <v>0</v>
      </c>
      <c r="AQ431" s="54" t="s">
        <v>118</v>
      </c>
      <c r="AV431" s="53">
        <f t="shared" si="496"/>
        <v>0</v>
      </c>
      <c r="AW431" s="53">
        <f t="shared" si="497"/>
        <v>0</v>
      </c>
      <c r="AX431" s="53">
        <f t="shared" si="498"/>
        <v>0</v>
      </c>
      <c r="AY431" s="54" t="s">
        <v>1332</v>
      </c>
      <c r="AZ431" s="54" t="s">
        <v>983</v>
      </c>
      <c r="BA431" s="36" t="s">
        <v>116</v>
      </c>
      <c r="BC431" s="53">
        <f t="shared" si="499"/>
        <v>0</v>
      </c>
      <c r="BD431" s="53">
        <f t="shared" si="500"/>
        <v>0</v>
      </c>
      <c r="BE431" s="53">
        <v>0</v>
      </c>
      <c r="BF431" s="53">
        <f>431</f>
        <v>431</v>
      </c>
      <c r="BH431" s="53">
        <f t="shared" si="501"/>
        <v>0</v>
      </c>
      <c r="BI431" s="53">
        <f t="shared" si="502"/>
        <v>0</v>
      </c>
      <c r="BJ431" s="53">
        <f t="shared" si="503"/>
        <v>0</v>
      </c>
      <c r="BK431" s="54" t="s">
        <v>117</v>
      </c>
      <c r="BL431" s="53"/>
      <c r="BW431" s="53">
        <v>21</v>
      </c>
      <c r="BX431" s="3" t="s">
        <v>1359</v>
      </c>
    </row>
    <row r="432" spans="1:76" ht="23" x14ac:dyDescent="0.35">
      <c r="A432" s="1" t="s">
        <v>1360</v>
      </c>
      <c r="B432" s="2" t="s">
        <v>1361</v>
      </c>
      <c r="C432" s="91" t="s">
        <v>1362</v>
      </c>
      <c r="D432" s="88"/>
      <c r="E432" s="2" t="s">
        <v>424</v>
      </c>
      <c r="F432" s="53">
        <v>1</v>
      </c>
      <c r="G432" s="77">
        <v>0</v>
      </c>
      <c r="H432" s="53">
        <f t="shared" si="484"/>
        <v>0</v>
      </c>
      <c r="I432" s="79" t="s">
        <v>1688</v>
      </c>
      <c r="J432" s="49"/>
      <c r="Z432" s="53">
        <f t="shared" si="485"/>
        <v>0</v>
      </c>
      <c r="AB432" s="53">
        <f t="shared" si="486"/>
        <v>0</v>
      </c>
      <c r="AC432" s="53">
        <f t="shared" si="487"/>
        <v>0</v>
      </c>
      <c r="AD432" s="53">
        <f t="shared" si="488"/>
        <v>0</v>
      </c>
      <c r="AE432" s="53">
        <f t="shared" si="489"/>
        <v>0</v>
      </c>
      <c r="AF432" s="53">
        <f t="shared" si="490"/>
        <v>0</v>
      </c>
      <c r="AG432" s="53">
        <f t="shared" si="491"/>
        <v>0</v>
      </c>
      <c r="AH432" s="53">
        <f t="shared" si="492"/>
        <v>0</v>
      </c>
      <c r="AI432" s="36" t="s">
        <v>10</v>
      </c>
      <c r="AJ432" s="53">
        <f t="shared" si="493"/>
        <v>0</v>
      </c>
      <c r="AK432" s="53">
        <f t="shared" si="494"/>
        <v>0</v>
      </c>
      <c r="AL432" s="53">
        <f t="shared" si="495"/>
        <v>0</v>
      </c>
      <c r="AN432" s="53">
        <v>21</v>
      </c>
      <c r="AO432" s="53">
        <f>G432*0.999998444</f>
        <v>0</v>
      </c>
      <c r="AP432" s="53">
        <f>G432*(1-0.999998444)</f>
        <v>0</v>
      </c>
      <c r="AQ432" s="54" t="s">
        <v>118</v>
      </c>
      <c r="AV432" s="53">
        <f t="shared" si="496"/>
        <v>0</v>
      </c>
      <c r="AW432" s="53">
        <f t="shared" si="497"/>
        <v>0</v>
      </c>
      <c r="AX432" s="53">
        <f t="shared" si="498"/>
        <v>0</v>
      </c>
      <c r="AY432" s="54" t="s">
        <v>1332</v>
      </c>
      <c r="AZ432" s="54" t="s">
        <v>983</v>
      </c>
      <c r="BA432" s="36" t="s">
        <v>116</v>
      </c>
      <c r="BC432" s="53">
        <f t="shared" si="499"/>
        <v>0</v>
      </c>
      <c r="BD432" s="53">
        <f t="shared" si="500"/>
        <v>0</v>
      </c>
      <c r="BE432" s="53">
        <v>0</v>
      </c>
      <c r="BF432" s="53">
        <f>432</f>
        <v>432</v>
      </c>
      <c r="BH432" s="53">
        <f t="shared" si="501"/>
        <v>0</v>
      </c>
      <c r="BI432" s="53">
        <f t="shared" si="502"/>
        <v>0</v>
      </c>
      <c r="BJ432" s="53">
        <f t="shared" si="503"/>
        <v>0</v>
      </c>
      <c r="BK432" s="54" t="s">
        <v>117</v>
      </c>
      <c r="BL432" s="53"/>
      <c r="BW432" s="53">
        <v>21</v>
      </c>
      <c r="BX432" s="3" t="s">
        <v>1362</v>
      </c>
    </row>
    <row r="433" spans="1:76" ht="14.5" x14ac:dyDescent="0.35">
      <c r="A433" s="50" t="s">
        <v>10</v>
      </c>
      <c r="B433" s="51" t="s">
        <v>1363</v>
      </c>
      <c r="C433" s="172" t="s">
        <v>1364</v>
      </c>
      <c r="D433" s="173"/>
      <c r="E433" s="52" t="s">
        <v>75</v>
      </c>
      <c r="F433" s="52" t="s">
        <v>75</v>
      </c>
      <c r="G433" s="52" t="s">
        <v>75</v>
      </c>
      <c r="H433" s="28">
        <f>SUM(H434:H445)</f>
        <v>0</v>
      </c>
      <c r="I433" s="36" t="s">
        <v>10</v>
      </c>
      <c r="J433" s="49"/>
      <c r="AI433" s="36" t="s">
        <v>10</v>
      </c>
      <c r="AS433" s="28">
        <f>SUM(AJ434:AJ445)</f>
        <v>0</v>
      </c>
      <c r="AT433" s="28">
        <f>SUM(AK434:AK445)</f>
        <v>0</v>
      </c>
      <c r="AU433" s="28">
        <f>SUM(AL434:AL445)</f>
        <v>0</v>
      </c>
    </row>
    <row r="434" spans="1:76" ht="23" x14ac:dyDescent="0.35">
      <c r="A434" s="1" t="s">
        <v>1365</v>
      </c>
      <c r="B434" s="2" t="s">
        <v>1366</v>
      </c>
      <c r="C434" s="91" t="s">
        <v>1367</v>
      </c>
      <c r="D434" s="88"/>
      <c r="E434" s="2" t="s">
        <v>733</v>
      </c>
      <c r="F434" s="53">
        <v>200</v>
      </c>
      <c r="G434" s="77">
        <v>0</v>
      </c>
      <c r="H434" s="53">
        <f t="shared" ref="H434:H445" si="504">ROUND(F434*G434,2)</f>
        <v>0</v>
      </c>
      <c r="I434" s="79" t="s">
        <v>1688</v>
      </c>
      <c r="J434" s="49"/>
      <c r="Z434" s="53">
        <f t="shared" ref="Z434:Z445" si="505">ROUND(IF(AQ434="5",BJ434,0),2)</f>
        <v>0</v>
      </c>
      <c r="AB434" s="53">
        <f t="shared" ref="AB434:AB445" si="506">ROUND(IF(AQ434="1",BH434,0),2)</f>
        <v>0</v>
      </c>
      <c r="AC434" s="53">
        <f t="shared" ref="AC434:AC445" si="507">ROUND(IF(AQ434="1",BI434,0),2)</f>
        <v>0</v>
      </c>
      <c r="AD434" s="53">
        <f t="shared" ref="AD434:AD445" si="508">ROUND(IF(AQ434="7",BH434,0),2)</f>
        <v>0</v>
      </c>
      <c r="AE434" s="53">
        <f t="shared" ref="AE434:AE445" si="509">ROUND(IF(AQ434="7",BI434,0),2)</f>
        <v>0</v>
      </c>
      <c r="AF434" s="53">
        <f t="shared" ref="AF434:AF445" si="510">ROUND(IF(AQ434="2",BH434,0),2)</f>
        <v>0</v>
      </c>
      <c r="AG434" s="53">
        <f t="shared" ref="AG434:AG445" si="511">ROUND(IF(AQ434="2",BI434,0),2)</f>
        <v>0</v>
      </c>
      <c r="AH434" s="53">
        <f t="shared" ref="AH434:AH445" si="512">ROUND(IF(AQ434="0",BJ434,0),2)</f>
        <v>0</v>
      </c>
      <c r="AI434" s="36" t="s">
        <v>10</v>
      </c>
      <c r="AJ434" s="53">
        <f t="shared" ref="AJ434:AJ445" si="513">IF(AN434=0,H434,0)</f>
        <v>0</v>
      </c>
      <c r="AK434" s="53">
        <f t="shared" ref="AK434:AK445" si="514">IF(AN434=12,H434,0)</f>
        <v>0</v>
      </c>
      <c r="AL434" s="53">
        <f t="shared" ref="AL434:AL445" si="515">IF(AN434=21,H434,0)</f>
        <v>0</v>
      </c>
      <c r="AN434" s="53">
        <v>21</v>
      </c>
      <c r="AO434" s="53">
        <f>G434*0.242428073</f>
        <v>0</v>
      </c>
      <c r="AP434" s="53">
        <f>G434*(1-0.242428073)</f>
        <v>0</v>
      </c>
      <c r="AQ434" s="54" t="s">
        <v>118</v>
      </c>
      <c r="AV434" s="53">
        <f t="shared" ref="AV434:AV445" si="516">ROUND(AW434+AX434,2)</f>
        <v>0</v>
      </c>
      <c r="AW434" s="53">
        <f t="shared" ref="AW434:AW445" si="517">ROUND(F434*AO434,2)</f>
        <v>0</v>
      </c>
      <c r="AX434" s="53">
        <f t="shared" ref="AX434:AX445" si="518">ROUND(F434*AP434,2)</f>
        <v>0</v>
      </c>
      <c r="AY434" s="54" t="s">
        <v>1368</v>
      </c>
      <c r="AZ434" s="54" t="s">
        <v>983</v>
      </c>
      <c r="BA434" s="36" t="s">
        <v>116</v>
      </c>
      <c r="BC434" s="53">
        <f t="shared" ref="BC434:BC445" si="519">AW434+AX434</f>
        <v>0</v>
      </c>
      <c r="BD434" s="53">
        <f t="shared" ref="BD434:BD445" si="520">G434/(100-BE434)*100</f>
        <v>0</v>
      </c>
      <c r="BE434" s="53">
        <v>0</v>
      </c>
      <c r="BF434" s="53">
        <f>434</f>
        <v>434</v>
      </c>
      <c r="BH434" s="53">
        <f t="shared" ref="BH434:BH445" si="521">F434*AO434</f>
        <v>0</v>
      </c>
      <c r="BI434" s="53">
        <f t="shared" ref="BI434:BI445" si="522">F434*AP434</f>
        <v>0</v>
      </c>
      <c r="BJ434" s="53">
        <f t="shared" ref="BJ434:BJ445" si="523">F434*G434</f>
        <v>0</v>
      </c>
      <c r="BK434" s="54" t="s">
        <v>117</v>
      </c>
      <c r="BL434" s="53"/>
      <c r="BW434" s="53">
        <v>21</v>
      </c>
      <c r="BX434" s="3" t="s">
        <v>1367</v>
      </c>
    </row>
    <row r="435" spans="1:76" ht="23" x14ac:dyDescent="0.35">
      <c r="A435" s="1" t="s">
        <v>1369</v>
      </c>
      <c r="B435" s="2" t="s">
        <v>1370</v>
      </c>
      <c r="C435" s="91" t="s">
        <v>1371</v>
      </c>
      <c r="D435" s="88"/>
      <c r="E435" s="2" t="s">
        <v>733</v>
      </c>
      <c r="F435" s="53">
        <v>33</v>
      </c>
      <c r="G435" s="77">
        <v>0</v>
      </c>
      <c r="H435" s="53">
        <f t="shared" si="504"/>
        <v>0</v>
      </c>
      <c r="I435" s="79" t="s">
        <v>1688</v>
      </c>
      <c r="J435" s="49"/>
      <c r="Z435" s="53">
        <f t="shared" si="505"/>
        <v>0</v>
      </c>
      <c r="AB435" s="53">
        <f t="shared" si="506"/>
        <v>0</v>
      </c>
      <c r="AC435" s="53">
        <f t="shared" si="507"/>
        <v>0</v>
      </c>
      <c r="AD435" s="53">
        <f t="shared" si="508"/>
        <v>0</v>
      </c>
      <c r="AE435" s="53">
        <f t="shared" si="509"/>
        <v>0</v>
      </c>
      <c r="AF435" s="53">
        <f t="shared" si="510"/>
        <v>0</v>
      </c>
      <c r="AG435" s="53">
        <f t="shared" si="511"/>
        <v>0</v>
      </c>
      <c r="AH435" s="53">
        <f t="shared" si="512"/>
        <v>0</v>
      </c>
      <c r="AI435" s="36" t="s">
        <v>10</v>
      </c>
      <c r="AJ435" s="53">
        <f t="shared" si="513"/>
        <v>0</v>
      </c>
      <c r="AK435" s="53">
        <f t="shared" si="514"/>
        <v>0</v>
      </c>
      <c r="AL435" s="53">
        <f t="shared" si="515"/>
        <v>0</v>
      </c>
      <c r="AN435" s="53">
        <v>21</v>
      </c>
      <c r="AO435" s="53">
        <f>G435*0.570841736</f>
        <v>0</v>
      </c>
      <c r="AP435" s="53">
        <f>G435*(1-0.570841736)</f>
        <v>0</v>
      </c>
      <c r="AQ435" s="54" t="s">
        <v>118</v>
      </c>
      <c r="AV435" s="53">
        <f t="shared" si="516"/>
        <v>0</v>
      </c>
      <c r="AW435" s="53">
        <f t="shared" si="517"/>
        <v>0</v>
      </c>
      <c r="AX435" s="53">
        <f t="shared" si="518"/>
        <v>0</v>
      </c>
      <c r="AY435" s="54" t="s">
        <v>1368</v>
      </c>
      <c r="AZ435" s="54" t="s">
        <v>983</v>
      </c>
      <c r="BA435" s="36" t="s">
        <v>116</v>
      </c>
      <c r="BC435" s="53">
        <f t="shared" si="519"/>
        <v>0</v>
      </c>
      <c r="BD435" s="53">
        <f t="shared" si="520"/>
        <v>0</v>
      </c>
      <c r="BE435" s="53">
        <v>0</v>
      </c>
      <c r="BF435" s="53">
        <f>435</f>
        <v>435</v>
      </c>
      <c r="BH435" s="53">
        <f t="shared" si="521"/>
        <v>0</v>
      </c>
      <c r="BI435" s="53">
        <f t="shared" si="522"/>
        <v>0</v>
      </c>
      <c r="BJ435" s="53">
        <f t="shared" si="523"/>
        <v>0</v>
      </c>
      <c r="BK435" s="54" t="s">
        <v>117</v>
      </c>
      <c r="BL435" s="53"/>
      <c r="BW435" s="53">
        <v>21</v>
      </c>
      <c r="BX435" s="3" t="s">
        <v>1371</v>
      </c>
    </row>
    <row r="436" spans="1:76" ht="23" x14ac:dyDescent="0.35">
      <c r="A436" s="1" t="s">
        <v>1372</v>
      </c>
      <c r="B436" s="2" t="s">
        <v>1373</v>
      </c>
      <c r="C436" s="91" t="s">
        <v>1374</v>
      </c>
      <c r="D436" s="88"/>
      <c r="E436" s="2" t="s">
        <v>365</v>
      </c>
      <c r="F436" s="53">
        <v>33</v>
      </c>
      <c r="G436" s="77">
        <v>0</v>
      </c>
      <c r="H436" s="53">
        <f t="shared" si="504"/>
        <v>0</v>
      </c>
      <c r="I436" s="79" t="s">
        <v>1688</v>
      </c>
      <c r="J436" s="49"/>
      <c r="Z436" s="53">
        <f t="shared" si="505"/>
        <v>0</v>
      </c>
      <c r="AB436" s="53">
        <f t="shared" si="506"/>
        <v>0</v>
      </c>
      <c r="AC436" s="53">
        <f t="shared" si="507"/>
        <v>0</v>
      </c>
      <c r="AD436" s="53">
        <f t="shared" si="508"/>
        <v>0</v>
      </c>
      <c r="AE436" s="53">
        <f t="shared" si="509"/>
        <v>0</v>
      </c>
      <c r="AF436" s="53">
        <f t="shared" si="510"/>
        <v>0</v>
      </c>
      <c r="AG436" s="53">
        <f t="shared" si="511"/>
        <v>0</v>
      </c>
      <c r="AH436" s="53">
        <f t="shared" si="512"/>
        <v>0</v>
      </c>
      <c r="AI436" s="36" t="s">
        <v>10</v>
      </c>
      <c r="AJ436" s="53">
        <f t="shared" si="513"/>
        <v>0</v>
      </c>
      <c r="AK436" s="53">
        <f t="shared" si="514"/>
        <v>0</v>
      </c>
      <c r="AL436" s="53">
        <f t="shared" si="515"/>
        <v>0</v>
      </c>
      <c r="AN436" s="53">
        <v>21</v>
      </c>
      <c r="AO436" s="53">
        <f>G436*0.344281328</f>
        <v>0</v>
      </c>
      <c r="AP436" s="53">
        <f>G436*(1-0.344281328)</f>
        <v>0</v>
      </c>
      <c r="AQ436" s="54" t="s">
        <v>118</v>
      </c>
      <c r="AV436" s="53">
        <f t="shared" si="516"/>
        <v>0</v>
      </c>
      <c r="AW436" s="53">
        <f t="shared" si="517"/>
        <v>0</v>
      </c>
      <c r="AX436" s="53">
        <f t="shared" si="518"/>
        <v>0</v>
      </c>
      <c r="AY436" s="54" t="s">
        <v>1368</v>
      </c>
      <c r="AZ436" s="54" t="s">
        <v>983</v>
      </c>
      <c r="BA436" s="36" t="s">
        <v>116</v>
      </c>
      <c r="BC436" s="53">
        <f t="shared" si="519"/>
        <v>0</v>
      </c>
      <c r="BD436" s="53">
        <f t="shared" si="520"/>
        <v>0</v>
      </c>
      <c r="BE436" s="53">
        <v>0</v>
      </c>
      <c r="BF436" s="53">
        <f>436</f>
        <v>436</v>
      </c>
      <c r="BH436" s="53">
        <f t="shared" si="521"/>
        <v>0</v>
      </c>
      <c r="BI436" s="53">
        <f t="shared" si="522"/>
        <v>0</v>
      </c>
      <c r="BJ436" s="53">
        <f t="shared" si="523"/>
        <v>0</v>
      </c>
      <c r="BK436" s="54" t="s">
        <v>117</v>
      </c>
      <c r="BL436" s="53"/>
      <c r="BW436" s="53">
        <v>21</v>
      </c>
      <c r="BX436" s="3" t="s">
        <v>1374</v>
      </c>
    </row>
    <row r="437" spans="1:76" ht="25" x14ac:dyDescent="0.35">
      <c r="A437" s="1" t="s">
        <v>1375</v>
      </c>
      <c r="B437" s="2" t="s">
        <v>1376</v>
      </c>
      <c r="C437" s="91" t="s">
        <v>1377</v>
      </c>
      <c r="D437" s="88"/>
      <c r="E437" s="2" t="s">
        <v>365</v>
      </c>
      <c r="F437" s="53">
        <v>18</v>
      </c>
      <c r="G437" s="77">
        <v>0</v>
      </c>
      <c r="H437" s="53">
        <f t="shared" si="504"/>
        <v>0</v>
      </c>
      <c r="I437" s="79" t="s">
        <v>1688</v>
      </c>
      <c r="J437" s="49"/>
      <c r="Z437" s="53">
        <f t="shared" si="505"/>
        <v>0</v>
      </c>
      <c r="AB437" s="53">
        <f t="shared" si="506"/>
        <v>0</v>
      </c>
      <c r="AC437" s="53">
        <f t="shared" si="507"/>
        <v>0</v>
      </c>
      <c r="AD437" s="53">
        <f t="shared" si="508"/>
        <v>0</v>
      </c>
      <c r="AE437" s="53">
        <f t="shared" si="509"/>
        <v>0</v>
      </c>
      <c r="AF437" s="53">
        <f t="shared" si="510"/>
        <v>0</v>
      </c>
      <c r="AG437" s="53">
        <f t="shared" si="511"/>
        <v>0</v>
      </c>
      <c r="AH437" s="53">
        <f t="shared" si="512"/>
        <v>0</v>
      </c>
      <c r="AI437" s="36" t="s">
        <v>10</v>
      </c>
      <c r="AJ437" s="53">
        <f t="shared" si="513"/>
        <v>0</v>
      </c>
      <c r="AK437" s="53">
        <f t="shared" si="514"/>
        <v>0</v>
      </c>
      <c r="AL437" s="53">
        <f t="shared" si="515"/>
        <v>0</v>
      </c>
      <c r="AN437" s="53">
        <v>21</v>
      </c>
      <c r="AO437" s="53">
        <f>G437*0.727248703</f>
        <v>0</v>
      </c>
      <c r="AP437" s="53">
        <f>G437*(1-0.727248703)</f>
        <v>0</v>
      </c>
      <c r="AQ437" s="54" t="s">
        <v>118</v>
      </c>
      <c r="AV437" s="53">
        <f t="shared" si="516"/>
        <v>0</v>
      </c>
      <c r="AW437" s="53">
        <f t="shared" si="517"/>
        <v>0</v>
      </c>
      <c r="AX437" s="53">
        <f t="shared" si="518"/>
        <v>0</v>
      </c>
      <c r="AY437" s="54" t="s">
        <v>1368</v>
      </c>
      <c r="AZ437" s="54" t="s">
        <v>983</v>
      </c>
      <c r="BA437" s="36" t="s">
        <v>116</v>
      </c>
      <c r="BC437" s="53">
        <f t="shared" si="519"/>
        <v>0</v>
      </c>
      <c r="BD437" s="53">
        <f t="shared" si="520"/>
        <v>0</v>
      </c>
      <c r="BE437" s="53">
        <v>0</v>
      </c>
      <c r="BF437" s="53">
        <f>437</f>
        <v>437</v>
      </c>
      <c r="BH437" s="53">
        <f t="shared" si="521"/>
        <v>0</v>
      </c>
      <c r="BI437" s="53">
        <f t="shared" si="522"/>
        <v>0</v>
      </c>
      <c r="BJ437" s="53">
        <f t="shared" si="523"/>
        <v>0</v>
      </c>
      <c r="BK437" s="54" t="s">
        <v>117</v>
      </c>
      <c r="BL437" s="53"/>
      <c r="BW437" s="53">
        <v>21</v>
      </c>
      <c r="BX437" s="3" t="s">
        <v>1377</v>
      </c>
    </row>
    <row r="438" spans="1:76" ht="23" x14ac:dyDescent="0.35">
      <c r="A438" s="1" t="s">
        <v>1378</v>
      </c>
      <c r="B438" s="2" t="s">
        <v>1379</v>
      </c>
      <c r="C438" s="91" t="s">
        <v>1380</v>
      </c>
      <c r="D438" s="88"/>
      <c r="E438" s="2" t="s">
        <v>733</v>
      </c>
      <c r="F438" s="53">
        <v>60</v>
      </c>
      <c r="G438" s="77">
        <v>0</v>
      </c>
      <c r="H438" s="53">
        <f t="shared" si="504"/>
        <v>0</v>
      </c>
      <c r="I438" s="79" t="s">
        <v>1688</v>
      </c>
      <c r="J438" s="49"/>
      <c r="Z438" s="53">
        <f t="shared" si="505"/>
        <v>0</v>
      </c>
      <c r="AB438" s="53">
        <f t="shared" si="506"/>
        <v>0</v>
      </c>
      <c r="AC438" s="53">
        <f t="shared" si="507"/>
        <v>0</v>
      </c>
      <c r="AD438" s="53">
        <f t="shared" si="508"/>
        <v>0</v>
      </c>
      <c r="AE438" s="53">
        <f t="shared" si="509"/>
        <v>0</v>
      </c>
      <c r="AF438" s="53">
        <f t="shared" si="510"/>
        <v>0</v>
      </c>
      <c r="AG438" s="53">
        <f t="shared" si="511"/>
        <v>0</v>
      </c>
      <c r="AH438" s="53">
        <f t="shared" si="512"/>
        <v>0</v>
      </c>
      <c r="AI438" s="36" t="s">
        <v>10</v>
      </c>
      <c r="AJ438" s="53">
        <f t="shared" si="513"/>
        <v>0</v>
      </c>
      <c r="AK438" s="53">
        <f t="shared" si="514"/>
        <v>0</v>
      </c>
      <c r="AL438" s="53">
        <f t="shared" si="515"/>
        <v>0</v>
      </c>
      <c r="AN438" s="53">
        <v>21</v>
      </c>
      <c r="AO438" s="53">
        <f>G438*0.307696629</f>
        <v>0</v>
      </c>
      <c r="AP438" s="53">
        <f>G438*(1-0.307696629)</f>
        <v>0</v>
      </c>
      <c r="AQ438" s="54" t="s">
        <v>118</v>
      </c>
      <c r="AV438" s="53">
        <f t="shared" si="516"/>
        <v>0</v>
      </c>
      <c r="AW438" s="53">
        <f t="shared" si="517"/>
        <v>0</v>
      </c>
      <c r="AX438" s="53">
        <f t="shared" si="518"/>
        <v>0</v>
      </c>
      <c r="AY438" s="54" t="s">
        <v>1368</v>
      </c>
      <c r="AZ438" s="54" t="s">
        <v>983</v>
      </c>
      <c r="BA438" s="36" t="s">
        <v>116</v>
      </c>
      <c r="BC438" s="53">
        <f t="shared" si="519"/>
        <v>0</v>
      </c>
      <c r="BD438" s="53">
        <f t="shared" si="520"/>
        <v>0</v>
      </c>
      <c r="BE438" s="53">
        <v>0</v>
      </c>
      <c r="BF438" s="53">
        <f>438</f>
        <v>438</v>
      </c>
      <c r="BH438" s="53">
        <f t="shared" si="521"/>
        <v>0</v>
      </c>
      <c r="BI438" s="53">
        <f t="shared" si="522"/>
        <v>0</v>
      </c>
      <c r="BJ438" s="53">
        <f t="shared" si="523"/>
        <v>0</v>
      </c>
      <c r="BK438" s="54" t="s">
        <v>117</v>
      </c>
      <c r="BL438" s="53"/>
      <c r="BW438" s="53">
        <v>21</v>
      </c>
      <c r="BX438" s="3" t="s">
        <v>1380</v>
      </c>
    </row>
    <row r="439" spans="1:76" ht="23" x14ac:dyDescent="0.35">
      <c r="A439" s="1" t="s">
        <v>1381</v>
      </c>
      <c r="B439" s="2" t="s">
        <v>1382</v>
      </c>
      <c r="C439" s="91" t="s">
        <v>1383</v>
      </c>
      <c r="D439" s="88"/>
      <c r="E439" s="2" t="s">
        <v>733</v>
      </c>
      <c r="F439" s="53">
        <v>75</v>
      </c>
      <c r="G439" s="77">
        <v>0</v>
      </c>
      <c r="H439" s="53">
        <f t="shared" si="504"/>
        <v>0</v>
      </c>
      <c r="I439" s="79" t="s">
        <v>1688</v>
      </c>
      <c r="J439" s="49"/>
      <c r="Z439" s="53">
        <f t="shared" si="505"/>
        <v>0</v>
      </c>
      <c r="AB439" s="53">
        <f t="shared" si="506"/>
        <v>0</v>
      </c>
      <c r="AC439" s="53">
        <f t="shared" si="507"/>
        <v>0</v>
      </c>
      <c r="AD439" s="53">
        <f t="shared" si="508"/>
        <v>0</v>
      </c>
      <c r="AE439" s="53">
        <f t="shared" si="509"/>
        <v>0</v>
      </c>
      <c r="AF439" s="53">
        <f t="shared" si="510"/>
        <v>0</v>
      </c>
      <c r="AG439" s="53">
        <f t="shared" si="511"/>
        <v>0</v>
      </c>
      <c r="AH439" s="53">
        <f t="shared" si="512"/>
        <v>0</v>
      </c>
      <c r="AI439" s="36" t="s">
        <v>10</v>
      </c>
      <c r="AJ439" s="53">
        <f t="shared" si="513"/>
        <v>0</v>
      </c>
      <c r="AK439" s="53">
        <f t="shared" si="514"/>
        <v>0</v>
      </c>
      <c r="AL439" s="53">
        <f t="shared" si="515"/>
        <v>0</v>
      </c>
      <c r="AN439" s="53">
        <v>21</v>
      </c>
      <c r="AO439" s="53">
        <f>G439*0.563652757</f>
        <v>0</v>
      </c>
      <c r="AP439" s="53">
        <f>G439*(1-0.563652757)</f>
        <v>0</v>
      </c>
      <c r="AQ439" s="54" t="s">
        <v>118</v>
      </c>
      <c r="AV439" s="53">
        <f t="shared" si="516"/>
        <v>0</v>
      </c>
      <c r="AW439" s="53">
        <f t="shared" si="517"/>
        <v>0</v>
      </c>
      <c r="AX439" s="53">
        <f t="shared" si="518"/>
        <v>0</v>
      </c>
      <c r="AY439" s="54" t="s">
        <v>1368</v>
      </c>
      <c r="AZ439" s="54" t="s">
        <v>983</v>
      </c>
      <c r="BA439" s="36" t="s">
        <v>116</v>
      </c>
      <c r="BC439" s="53">
        <f t="shared" si="519"/>
        <v>0</v>
      </c>
      <c r="BD439" s="53">
        <f t="shared" si="520"/>
        <v>0</v>
      </c>
      <c r="BE439" s="53">
        <v>0</v>
      </c>
      <c r="BF439" s="53">
        <f>439</f>
        <v>439</v>
      </c>
      <c r="BH439" s="53">
        <f t="shared" si="521"/>
        <v>0</v>
      </c>
      <c r="BI439" s="53">
        <f t="shared" si="522"/>
        <v>0</v>
      </c>
      <c r="BJ439" s="53">
        <f t="shared" si="523"/>
        <v>0</v>
      </c>
      <c r="BK439" s="54" t="s">
        <v>117</v>
      </c>
      <c r="BL439" s="53"/>
      <c r="BW439" s="53">
        <v>21</v>
      </c>
      <c r="BX439" s="3" t="s">
        <v>1383</v>
      </c>
    </row>
    <row r="440" spans="1:76" ht="23" x14ac:dyDescent="0.35">
      <c r="A440" s="1" t="s">
        <v>1384</v>
      </c>
      <c r="B440" s="2" t="s">
        <v>1385</v>
      </c>
      <c r="C440" s="91" t="s">
        <v>1386</v>
      </c>
      <c r="D440" s="88"/>
      <c r="E440" s="2" t="s">
        <v>365</v>
      </c>
      <c r="F440" s="53">
        <v>33</v>
      </c>
      <c r="G440" s="77">
        <v>0</v>
      </c>
      <c r="H440" s="53">
        <f t="shared" si="504"/>
        <v>0</v>
      </c>
      <c r="I440" s="79" t="s">
        <v>1688</v>
      </c>
      <c r="J440" s="49"/>
      <c r="Z440" s="53">
        <f t="shared" si="505"/>
        <v>0</v>
      </c>
      <c r="AB440" s="53">
        <f t="shared" si="506"/>
        <v>0</v>
      </c>
      <c r="AC440" s="53">
        <f t="shared" si="507"/>
        <v>0</v>
      </c>
      <c r="AD440" s="53">
        <f t="shared" si="508"/>
        <v>0</v>
      </c>
      <c r="AE440" s="53">
        <f t="shared" si="509"/>
        <v>0</v>
      </c>
      <c r="AF440" s="53">
        <f t="shared" si="510"/>
        <v>0</v>
      </c>
      <c r="AG440" s="53">
        <f t="shared" si="511"/>
        <v>0</v>
      </c>
      <c r="AH440" s="53">
        <f t="shared" si="512"/>
        <v>0</v>
      </c>
      <c r="AI440" s="36" t="s">
        <v>10</v>
      </c>
      <c r="AJ440" s="53">
        <f t="shared" si="513"/>
        <v>0</v>
      </c>
      <c r="AK440" s="53">
        <f t="shared" si="514"/>
        <v>0</v>
      </c>
      <c r="AL440" s="53">
        <f t="shared" si="515"/>
        <v>0</v>
      </c>
      <c r="AN440" s="53">
        <v>21</v>
      </c>
      <c r="AO440" s="53">
        <f>G440*0.798373604</f>
        <v>0</v>
      </c>
      <c r="AP440" s="53">
        <f>G440*(1-0.798373604)</f>
        <v>0</v>
      </c>
      <c r="AQ440" s="54" t="s">
        <v>118</v>
      </c>
      <c r="AV440" s="53">
        <f t="shared" si="516"/>
        <v>0</v>
      </c>
      <c r="AW440" s="53">
        <f t="shared" si="517"/>
        <v>0</v>
      </c>
      <c r="AX440" s="53">
        <f t="shared" si="518"/>
        <v>0</v>
      </c>
      <c r="AY440" s="54" t="s">
        <v>1368</v>
      </c>
      <c r="AZ440" s="54" t="s">
        <v>983</v>
      </c>
      <c r="BA440" s="36" t="s">
        <v>116</v>
      </c>
      <c r="BC440" s="53">
        <f t="shared" si="519"/>
        <v>0</v>
      </c>
      <c r="BD440" s="53">
        <f t="shared" si="520"/>
        <v>0</v>
      </c>
      <c r="BE440" s="53">
        <v>0</v>
      </c>
      <c r="BF440" s="53">
        <f>440</f>
        <v>440</v>
      </c>
      <c r="BH440" s="53">
        <f t="shared" si="521"/>
        <v>0</v>
      </c>
      <c r="BI440" s="53">
        <f t="shared" si="522"/>
        <v>0</v>
      </c>
      <c r="BJ440" s="53">
        <f t="shared" si="523"/>
        <v>0</v>
      </c>
      <c r="BK440" s="54" t="s">
        <v>117</v>
      </c>
      <c r="BL440" s="53"/>
      <c r="BW440" s="53">
        <v>21</v>
      </c>
      <c r="BX440" s="3" t="s">
        <v>1386</v>
      </c>
    </row>
    <row r="441" spans="1:76" ht="23" x14ac:dyDescent="0.35">
      <c r="A441" s="1" t="s">
        <v>1387</v>
      </c>
      <c r="B441" s="2" t="s">
        <v>1388</v>
      </c>
      <c r="C441" s="91" t="s">
        <v>1389</v>
      </c>
      <c r="D441" s="88"/>
      <c r="E441" s="2" t="s">
        <v>424</v>
      </c>
      <c r="F441" s="53">
        <v>1</v>
      </c>
      <c r="G441" s="77">
        <v>0</v>
      </c>
      <c r="H441" s="53">
        <f t="shared" si="504"/>
        <v>0</v>
      </c>
      <c r="I441" s="79" t="s">
        <v>1688</v>
      </c>
      <c r="J441" s="49"/>
      <c r="Z441" s="53">
        <f t="shared" si="505"/>
        <v>0</v>
      </c>
      <c r="AB441" s="53">
        <f t="shared" si="506"/>
        <v>0</v>
      </c>
      <c r="AC441" s="53">
        <f t="shared" si="507"/>
        <v>0</v>
      </c>
      <c r="AD441" s="53">
        <f t="shared" si="508"/>
        <v>0</v>
      </c>
      <c r="AE441" s="53">
        <f t="shared" si="509"/>
        <v>0</v>
      </c>
      <c r="AF441" s="53">
        <f t="shared" si="510"/>
        <v>0</v>
      </c>
      <c r="AG441" s="53">
        <f t="shared" si="511"/>
        <v>0</v>
      </c>
      <c r="AH441" s="53">
        <f t="shared" si="512"/>
        <v>0</v>
      </c>
      <c r="AI441" s="36" t="s">
        <v>10</v>
      </c>
      <c r="AJ441" s="53">
        <f t="shared" si="513"/>
        <v>0</v>
      </c>
      <c r="AK441" s="53">
        <f t="shared" si="514"/>
        <v>0</v>
      </c>
      <c r="AL441" s="53">
        <f t="shared" si="515"/>
        <v>0</v>
      </c>
      <c r="AN441" s="53">
        <v>21</v>
      </c>
      <c r="AO441" s="53">
        <f>G441*0.250002809</f>
        <v>0</v>
      </c>
      <c r="AP441" s="53">
        <f>G441*(1-0.250002809)</f>
        <v>0</v>
      </c>
      <c r="AQ441" s="54" t="s">
        <v>118</v>
      </c>
      <c r="AV441" s="53">
        <f t="shared" si="516"/>
        <v>0</v>
      </c>
      <c r="AW441" s="53">
        <f t="shared" si="517"/>
        <v>0</v>
      </c>
      <c r="AX441" s="53">
        <f t="shared" si="518"/>
        <v>0</v>
      </c>
      <c r="AY441" s="54" t="s">
        <v>1368</v>
      </c>
      <c r="AZ441" s="54" t="s">
        <v>983</v>
      </c>
      <c r="BA441" s="36" t="s">
        <v>116</v>
      </c>
      <c r="BC441" s="53">
        <f t="shared" si="519"/>
        <v>0</v>
      </c>
      <c r="BD441" s="53">
        <f t="shared" si="520"/>
        <v>0</v>
      </c>
      <c r="BE441" s="53">
        <v>0</v>
      </c>
      <c r="BF441" s="53">
        <f>441</f>
        <v>441</v>
      </c>
      <c r="BH441" s="53">
        <f t="shared" si="521"/>
        <v>0</v>
      </c>
      <c r="BI441" s="53">
        <f t="shared" si="522"/>
        <v>0</v>
      </c>
      <c r="BJ441" s="53">
        <f t="shared" si="523"/>
        <v>0</v>
      </c>
      <c r="BK441" s="54" t="s">
        <v>117</v>
      </c>
      <c r="BL441" s="53"/>
      <c r="BW441" s="53">
        <v>21</v>
      </c>
      <c r="BX441" s="3" t="s">
        <v>1389</v>
      </c>
    </row>
    <row r="442" spans="1:76" ht="25" x14ac:dyDescent="0.35">
      <c r="A442" s="1" t="s">
        <v>1390</v>
      </c>
      <c r="B442" s="2" t="s">
        <v>1391</v>
      </c>
      <c r="C442" s="91" t="s">
        <v>1392</v>
      </c>
      <c r="D442" s="88"/>
      <c r="E442" s="2" t="s">
        <v>424</v>
      </c>
      <c r="F442" s="53">
        <v>1</v>
      </c>
      <c r="G442" s="77">
        <v>0</v>
      </c>
      <c r="H442" s="53">
        <f t="shared" si="504"/>
        <v>0</v>
      </c>
      <c r="I442" s="79" t="s">
        <v>1688</v>
      </c>
      <c r="J442" s="49"/>
      <c r="Z442" s="53">
        <f t="shared" si="505"/>
        <v>0</v>
      </c>
      <c r="AB442" s="53">
        <f t="shared" si="506"/>
        <v>0</v>
      </c>
      <c r="AC442" s="53">
        <f t="shared" si="507"/>
        <v>0</v>
      </c>
      <c r="AD442" s="53">
        <f t="shared" si="508"/>
        <v>0</v>
      </c>
      <c r="AE442" s="53">
        <f t="shared" si="509"/>
        <v>0</v>
      </c>
      <c r="AF442" s="53">
        <f t="shared" si="510"/>
        <v>0</v>
      </c>
      <c r="AG442" s="53">
        <f t="shared" si="511"/>
        <v>0</v>
      </c>
      <c r="AH442" s="53">
        <f t="shared" si="512"/>
        <v>0</v>
      </c>
      <c r="AI442" s="36" t="s">
        <v>10</v>
      </c>
      <c r="AJ442" s="53">
        <f t="shared" si="513"/>
        <v>0</v>
      </c>
      <c r="AK442" s="53">
        <f t="shared" si="514"/>
        <v>0</v>
      </c>
      <c r="AL442" s="53">
        <f t="shared" si="515"/>
        <v>0</v>
      </c>
      <c r="AN442" s="53">
        <v>21</v>
      </c>
      <c r="AO442" s="53">
        <f>G442*0.500008989</f>
        <v>0</v>
      </c>
      <c r="AP442" s="53">
        <f>G442*(1-0.500008989)</f>
        <v>0</v>
      </c>
      <c r="AQ442" s="54" t="s">
        <v>118</v>
      </c>
      <c r="AV442" s="53">
        <f t="shared" si="516"/>
        <v>0</v>
      </c>
      <c r="AW442" s="53">
        <f t="shared" si="517"/>
        <v>0</v>
      </c>
      <c r="AX442" s="53">
        <f t="shared" si="518"/>
        <v>0</v>
      </c>
      <c r="AY442" s="54" t="s">
        <v>1368</v>
      </c>
      <c r="AZ442" s="54" t="s">
        <v>983</v>
      </c>
      <c r="BA442" s="36" t="s">
        <v>116</v>
      </c>
      <c r="BC442" s="53">
        <f t="shared" si="519"/>
        <v>0</v>
      </c>
      <c r="BD442" s="53">
        <f t="shared" si="520"/>
        <v>0</v>
      </c>
      <c r="BE442" s="53">
        <v>0</v>
      </c>
      <c r="BF442" s="53">
        <f>442</f>
        <v>442</v>
      </c>
      <c r="BH442" s="53">
        <f t="shared" si="521"/>
        <v>0</v>
      </c>
      <c r="BI442" s="53">
        <f t="shared" si="522"/>
        <v>0</v>
      </c>
      <c r="BJ442" s="53">
        <f t="shared" si="523"/>
        <v>0</v>
      </c>
      <c r="BK442" s="54" t="s">
        <v>117</v>
      </c>
      <c r="BL442" s="53"/>
      <c r="BW442" s="53">
        <v>21</v>
      </c>
      <c r="BX442" s="3" t="s">
        <v>1392</v>
      </c>
    </row>
    <row r="443" spans="1:76" ht="23" x14ac:dyDescent="0.35">
      <c r="A443" s="1" t="s">
        <v>1393</v>
      </c>
      <c r="B443" s="2" t="s">
        <v>1394</v>
      </c>
      <c r="C443" s="91" t="s">
        <v>1395</v>
      </c>
      <c r="D443" s="88"/>
      <c r="E443" s="2" t="s">
        <v>424</v>
      </c>
      <c r="F443" s="53">
        <v>1</v>
      </c>
      <c r="G443" s="77">
        <v>0</v>
      </c>
      <c r="H443" s="53">
        <f t="shared" si="504"/>
        <v>0</v>
      </c>
      <c r="I443" s="79" t="s">
        <v>1688</v>
      </c>
      <c r="J443" s="49"/>
      <c r="Z443" s="53">
        <f t="shared" si="505"/>
        <v>0</v>
      </c>
      <c r="AB443" s="53">
        <f t="shared" si="506"/>
        <v>0</v>
      </c>
      <c r="AC443" s="53">
        <f t="shared" si="507"/>
        <v>0</v>
      </c>
      <c r="AD443" s="53">
        <f t="shared" si="508"/>
        <v>0</v>
      </c>
      <c r="AE443" s="53">
        <f t="shared" si="509"/>
        <v>0</v>
      </c>
      <c r="AF443" s="53">
        <f t="shared" si="510"/>
        <v>0</v>
      </c>
      <c r="AG443" s="53">
        <f t="shared" si="511"/>
        <v>0</v>
      </c>
      <c r="AH443" s="53">
        <f t="shared" si="512"/>
        <v>0</v>
      </c>
      <c r="AI443" s="36" t="s">
        <v>10</v>
      </c>
      <c r="AJ443" s="53">
        <f t="shared" si="513"/>
        <v>0</v>
      </c>
      <c r="AK443" s="53">
        <f t="shared" si="514"/>
        <v>0</v>
      </c>
      <c r="AL443" s="53">
        <f t="shared" si="515"/>
        <v>0</v>
      </c>
      <c r="AN443" s="53">
        <v>21</v>
      </c>
      <c r="AO443" s="53">
        <f>G443*0.500007725</f>
        <v>0</v>
      </c>
      <c r="AP443" s="53">
        <f>G443*(1-0.500007725)</f>
        <v>0</v>
      </c>
      <c r="AQ443" s="54" t="s">
        <v>118</v>
      </c>
      <c r="AV443" s="53">
        <f t="shared" si="516"/>
        <v>0</v>
      </c>
      <c r="AW443" s="53">
        <f t="shared" si="517"/>
        <v>0</v>
      </c>
      <c r="AX443" s="53">
        <f t="shared" si="518"/>
        <v>0</v>
      </c>
      <c r="AY443" s="54" t="s">
        <v>1368</v>
      </c>
      <c r="AZ443" s="54" t="s">
        <v>983</v>
      </c>
      <c r="BA443" s="36" t="s">
        <v>116</v>
      </c>
      <c r="BC443" s="53">
        <f t="shared" si="519"/>
        <v>0</v>
      </c>
      <c r="BD443" s="53">
        <f t="shared" si="520"/>
        <v>0</v>
      </c>
      <c r="BE443" s="53">
        <v>0</v>
      </c>
      <c r="BF443" s="53">
        <f>443</f>
        <v>443</v>
      </c>
      <c r="BH443" s="53">
        <f t="shared" si="521"/>
        <v>0</v>
      </c>
      <c r="BI443" s="53">
        <f t="shared" si="522"/>
        <v>0</v>
      </c>
      <c r="BJ443" s="53">
        <f t="shared" si="523"/>
        <v>0</v>
      </c>
      <c r="BK443" s="54" t="s">
        <v>117</v>
      </c>
      <c r="BL443" s="53"/>
      <c r="BW443" s="53">
        <v>21</v>
      </c>
      <c r="BX443" s="3" t="s">
        <v>1395</v>
      </c>
    </row>
    <row r="444" spans="1:76" ht="23" x14ac:dyDescent="0.35">
      <c r="A444" s="1" t="s">
        <v>1396</v>
      </c>
      <c r="B444" s="2" t="s">
        <v>1397</v>
      </c>
      <c r="C444" s="91" t="s">
        <v>1398</v>
      </c>
      <c r="D444" s="88"/>
      <c r="E444" s="2" t="s">
        <v>137</v>
      </c>
      <c r="F444" s="53">
        <v>60</v>
      </c>
      <c r="G444" s="77">
        <v>0</v>
      </c>
      <c r="H444" s="53">
        <f t="shared" si="504"/>
        <v>0</v>
      </c>
      <c r="I444" s="79" t="s">
        <v>1688</v>
      </c>
      <c r="J444" s="49"/>
      <c r="Z444" s="53">
        <f t="shared" si="505"/>
        <v>0</v>
      </c>
      <c r="AB444" s="53">
        <f t="shared" si="506"/>
        <v>0</v>
      </c>
      <c r="AC444" s="53">
        <f t="shared" si="507"/>
        <v>0</v>
      </c>
      <c r="AD444" s="53">
        <f t="shared" si="508"/>
        <v>0</v>
      </c>
      <c r="AE444" s="53">
        <f t="shared" si="509"/>
        <v>0</v>
      </c>
      <c r="AF444" s="53">
        <f t="shared" si="510"/>
        <v>0</v>
      </c>
      <c r="AG444" s="53">
        <f t="shared" si="511"/>
        <v>0</v>
      </c>
      <c r="AH444" s="53">
        <f t="shared" si="512"/>
        <v>0</v>
      </c>
      <c r="AI444" s="36" t="s">
        <v>10</v>
      </c>
      <c r="AJ444" s="53">
        <f t="shared" si="513"/>
        <v>0</v>
      </c>
      <c r="AK444" s="53">
        <f t="shared" si="514"/>
        <v>0</v>
      </c>
      <c r="AL444" s="53">
        <f t="shared" si="515"/>
        <v>0</v>
      </c>
      <c r="AN444" s="53">
        <v>21</v>
      </c>
      <c r="AO444" s="53">
        <f>G444*0.05405377</f>
        <v>0</v>
      </c>
      <c r="AP444" s="53">
        <f>G444*(1-0.05405377)</f>
        <v>0</v>
      </c>
      <c r="AQ444" s="54" t="s">
        <v>118</v>
      </c>
      <c r="AV444" s="53">
        <f t="shared" si="516"/>
        <v>0</v>
      </c>
      <c r="AW444" s="53">
        <f t="shared" si="517"/>
        <v>0</v>
      </c>
      <c r="AX444" s="53">
        <f t="shared" si="518"/>
        <v>0</v>
      </c>
      <c r="AY444" s="54" t="s">
        <v>1368</v>
      </c>
      <c r="AZ444" s="54" t="s">
        <v>983</v>
      </c>
      <c r="BA444" s="36" t="s">
        <v>116</v>
      </c>
      <c r="BC444" s="53">
        <f t="shared" si="519"/>
        <v>0</v>
      </c>
      <c r="BD444" s="53">
        <f t="shared" si="520"/>
        <v>0</v>
      </c>
      <c r="BE444" s="53">
        <v>0</v>
      </c>
      <c r="BF444" s="53">
        <f>444</f>
        <v>444</v>
      </c>
      <c r="BH444" s="53">
        <f t="shared" si="521"/>
        <v>0</v>
      </c>
      <c r="BI444" s="53">
        <f t="shared" si="522"/>
        <v>0</v>
      </c>
      <c r="BJ444" s="53">
        <f t="shared" si="523"/>
        <v>0</v>
      </c>
      <c r="BK444" s="54" t="s">
        <v>117</v>
      </c>
      <c r="BL444" s="53"/>
      <c r="BW444" s="53">
        <v>21</v>
      </c>
      <c r="BX444" s="3" t="s">
        <v>1398</v>
      </c>
    </row>
    <row r="445" spans="1:76" ht="23" x14ac:dyDescent="0.35">
      <c r="A445" s="1" t="s">
        <v>1399</v>
      </c>
      <c r="B445" s="2" t="s">
        <v>1400</v>
      </c>
      <c r="C445" s="91" t="s">
        <v>1401</v>
      </c>
      <c r="D445" s="88"/>
      <c r="E445" s="2" t="s">
        <v>424</v>
      </c>
      <c r="F445" s="53">
        <v>1</v>
      </c>
      <c r="G445" s="77">
        <v>0</v>
      </c>
      <c r="H445" s="53">
        <f t="shared" si="504"/>
        <v>0</v>
      </c>
      <c r="I445" s="79" t="s">
        <v>1688</v>
      </c>
      <c r="J445" s="49"/>
      <c r="Z445" s="53">
        <f t="shared" si="505"/>
        <v>0</v>
      </c>
      <c r="AB445" s="53">
        <f t="shared" si="506"/>
        <v>0</v>
      </c>
      <c r="AC445" s="53">
        <f t="shared" si="507"/>
        <v>0</v>
      </c>
      <c r="AD445" s="53">
        <f t="shared" si="508"/>
        <v>0</v>
      </c>
      <c r="AE445" s="53">
        <f t="shared" si="509"/>
        <v>0</v>
      </c>
      <c r="AF445" s="53">
        <f t="shared" si="510"/>
        <v>0</v>
      </c>
      <c r="AG445" s="53">
        <f t="shared" si="511"/>
        <v>0</v>
      </c>
      <c r="AH445" s="53">
        <f t="shared" si="512"/>
        <v>0</v>
      </c>
      <c r="AI445" s="36" t="s">
        <v>10</v>
      </c>
      <c r="AJ445" s="53">
        <f t="shared" si="513"/>
        <v>0</v>
      </c>
      <c r="AK445" s="53">
        <f t="shared" si="514"/>
        <v>0</v>
      </c>
      <c r="AL445" s="53">
        <f t="shared" si="515"/>
        <v>0</v>
      </c>
      <c r="AN445" s="53">
        <v>21</v>
      </c>
      <c r="AO445" s="53">
        <f>G445*0</f>
        <v>0</v>
      </c>
      <c r="AP445" s="53">
        <f>G445*(1-0)</f>
        <v>0</v>
      </c>
      <c r="AQ445" s="54" t="s">
        <v>118</v>
      </c>
      <c r="AV445" s="53">
        <f t="shared" si="516"/>
        <v>0</v>
      </c>
      <c r="AW445" s="53">
        <f t="shared" si="517"/>
        <v>0</v>
      </c>
      <c r="AX445" s="53">
        <f t="shared" si="518"/>
        <v>0</v>
      </c>
      <c r="AY445" s="54" t="s">
        <v>1368</v>
      </c>
      <c r="AZ445" s="54" t="s">
        <v>983</v>
      </c>
      <c r="BA445" s="36" t="s">
        <v>116</v>
      </c>
      <c r="BC445" s="53">
        <f t="shared" si="519"/>
        <v>0</v>
      </c>
      <c r="BD445" s="53">
        <f t="shared" si="520"/>
        <v>0</v>
      </c>
      <c r="BE445" s="53">
        <v>0</v>
      </c>
      <c r="BF445" s="53">
        <f>445</f>
        <v>445</v>
      </c>
      <c r="BH445" s="53">
        <f t="shared" si="521"/>
        <v>0</v>
      </c>
      <c r="BI445" s="53">
        <f t="shared" si="522"/>
        <v>0</v>
      </c>
      <c r="BJ445" s="53">
        <f t="shared" si="523"/>
        <v>0</v>
      </c>
      <c r="BK445" s="54" t="s">
        <v>117</v>
      </c>
      <c r="BL445" s="53"/>
      <c r="BW445" s="53">
        <v>21</v>
      </c>
      <c r="BX445" s="3" t="s">
        <v>1401</v>
      </c>
    </row>
    <row r="446" spans="1:76" ht="14.5" x14ac:dyDescent="0.35">
      <c r="A446" s="50" t="s">
        <v>10</v>
      </c>
      <c r="B446" s="51" t="s">
        <v>1402</v>
      </c>
      <c r="C446" s="172" t="s">
        <v>1403</v>
      </c>
      <c r="D446" s="173"/>
      <c r="E446" s="52" t="s">
        <v>75</v>
      </c>
      <c r="F446" s="52" t="s">
        <v>75</v>
      </c>
      <c r="G446" s="52" t="s">
        <v>75</v>
      </c>
      <c r="H446" s="28">
        <f>SUM(H447:H459)</f>
        <v>0</v>
      </c>
      <c r="I446" s="36" t="s">
        <v>10</v>
      </c>
      <c r="J446" s="49"/>
      <c r="AI446" s="36" t="s">
        <v>10</v>
      </c>
      <c r="AS446" s="28">
        <f>SUM(AJ447:AJ459)</f>
        <v>0</v>
      </c>
      <c r="AT446" s="28">
        <f>SUM(AK447:AK459)</f>
        <v>0</v>
      </c>
      <c r="AU446" s="28">
        <f>SUM(AL447:AL459)</f>
        <v>0</v>
      </c>
    </row>
    <row r="447" spans="1:76" ht="23" x14ac:dyDescent="0.35">
      <c r="A447" s="1" t="s">
        <v>1404</v>
      </c>
      <c r="B447" s="2" t="s">
        <v>1405</v>
      </c>
      <c r="C447" s="91" t="s">
        <v>1406</v>
      </c>
      <c r="D447" s="88"/>
      <c r="E447" s="2" t="s">
        <v>183</v>
      </c>
      <c r="F447" s="53">
        <v>203</v>
      </c>
      <c r="G447" s="77">
        <v>0</v>
      </c>
      <c r="H447" s="53">
        <f t="shared" ref="H447:H459" si="524">ROUND(F447*G447,2)</f>
        <v>0</v>
      </c>
      <c r="I447" s="79" t="s">
        <v>1688</v>
      </c>
      <c r="J447" s="49"/>
      <c r="Z447" s="53">
        <f t="shared" ref="Z447:Z459" si="525">ROUND(IF(AQ447="5",BJ447,0),2)</f>
        <v>0</v>
      </c>
      <c r="AB447" s="53">
        <f t="shared" ref="AB447:AB459" si="526">ROUND(IF(AQ447="1",BH447,0),2)</f>
        <v>0</v>
      </c>
      <c r="AC447" s="53">
        <f t="shared" ref="AC447:AC459" si="527">ROUND(IF(AQ447="1",BI447,0),2)</f>
        <v>0</v>
      </c>
      <c r="AD447" s="53">
        <f t="shared" ref="AD447:AD459" si="528">ROUND(IF(AQ447="7",BH447,0),2)</f>
        <v>0</v>
      </c>
      <c r="AE447" s="53">
        <f t="shared" ref="AE447:AE459" si="529">ROUND(IF(AQ447="7",BI447,0),2)</f>
        <v>0</v>
      </c>
      <c r="AF447" s="53">
        <f t="shared" ref="AF447:AF459" si="530">ROUND(IF(AQ447="2",BH447,0),2)</f>
        <v>0</v>
      </c>
      <c r="AG447" s="53">
        <f t="shared" ref="AG447:AG459" si="531">ROUND(IF(AQ447="2",BI447,0),2)</f>
        <v>0</v>
      </c>
      <c r="AH447" s="53">
        <f t="shared" ref="AH447:AH459" si="532">ROUND(IF(AQ447="0",BJ447,0),2)</f>
        <v>0</v>
      </c>
      <c r="AI447" s="36" t="s">
        <v>10</v>
      </c>
      <c r="AJ447" s="53">
        <f t="shared" ref="AJ447:AJ459" si="533">IF(AN447=0,H447,0)</f>
        <v>0</v>
      </c>
      <c r="AK447" s="53">
        <f t="shared" ref="AK447:AK459" si="534">IF(AN447=12,H447,0)</f>
        <v>0</v>
      </c>
      <c r="AL447" s="53">
        <f t="shared" ref="AL447:AL459" si="535">IF(AN447=21,H447,0)</f>
        <v>0</v>
      </c>
      <c r="AN447" s="53">
        <v>21</v>
      </c>
      <c r="AO447" s="53">
        <f>G447*0</f>
        <v>0</v>
      </c>
      <c r="AP447" s="53">
        <f>G447*(1-0)</f>
        <v>0</v>
      </c>
      <c r="AQ447" s="54" t="s">
        <v>128</v>
      </c>
      <c r="AV447" s="53">
        <f t="shared" ref="AV447:AV459" si="536">ROUND(AW447+AX447,2)</f>
        <v>0</v>
      </c>
      <c r="AW447" s="53">
        <f t="shared" ref="AW447:AW459" si="537">ROUND(F447*AO447,2)</f>
        <v>0</v>
      </c>
      <c r="AX447" s="53">
        <f t="shared" ref="AX447:AX459" si="538">ROUND(F447*AP447,2)</f>
        <v>0</v>
      </c>
      <c r="AY447" s="54" t="s">
        <v>1407</v>
      </c>
      <c r="AZ447" s="54" t="s">
        <v>983</v>
      </c>
      <c r="BA447" s="36" t="s">
        <v>116</v>
      </c>
      <c r="BC447" s="53">
        <f t="shared" ref="BC447:BC459" si="539">AW447+AX447</f>
        <v>0</v>
      </c>
      <c r="BD447" s="53">
        <f t="shared" ref="BD447:BD459" si="540">G447/(100-BE447)*100</f>
        <v>0</v>
      </c>
      <c r="BE447" s="53">
        <v>0</v>
      </c>
      <c r="BF447" s="53">
        <f>447</f>
        <v>447</v>
      </c>
      <c r="BH447" s="53">
        <f t="shared" ref="BH447:BH459" si="541">F447*AO447</f>
        <v>0</v>
      </c>
      <c r="BI447" s="53">
        <f t="shared" ref="BI447:BI459" si="542">F447*AP447</f>
        <v>0</v>
      </c>
      <c r="BJ447" s="53">
        <f t="shared" ref="BJ447:BJ459" si="543">F447*G447</f>
        <v>0</v>
      </c>
      <c r="BK447" s="54" t="s">
        <v>117</v>
      </c>
      <c r="BL447" s="53"/>
      <c r="BW447" s="53">
        <v>21</v>
      </c>
      <c r="BX447" s="3" t="s">
        <v>1406</v>
      </c>
    </row>
    <row r="448" spans="1:76" ht="23" x14ac:dyDescent="0.35">
      <c r="A448" s="1" t="s">
        <v>1408</v>
      </c>
      <c r="B448" s="2" t="s">
        <v>1409</v>
      </c>
      <c r="C448" s="91" t="s">
        <v>1410</v>
      </c>
      <c r="D448" s="88"/>
      <c r="E448" s="2" t="s">
        <v>183</v>
      </c>
      <c r="F448" s="53">
        <v>1624</v>
      </c>
      <c r="G448" s="77">
        <v>0</v>
      </c>
      <c r="H448" s="53">
        <f t="shared" si="524"/>
        <v>0</v>
      </c>
      <c r="I448" s="79" t="s">
        <v>1688</v>
      </c>
      <c r="J448" s="49"/>
      <c r="Z448" s="53">
        <f t="shared" si="525"/>
        <v>0</v>
      </c>
      <c r="AB448" s="53">
        <f t="shared" si="526"/>
        <v>0</v>
      </c>
      <c r="AC448" s="53">
        <f t="shared" si="527"/>
        <v>0</v>
      </c>
      <c r="AD448" s="53">
        <f t="shared" si="528"/>
        <v>0</v>
      </c>
      <c r="AE448" s="53">
        <f t="shared" si="529"/>
        <v>0</v>
      </c>
      <c r="AF448" s="53">
        <f t="shared" si="530"/>
        <v>0</v>
      </c>
      <c r="AG448" s="53">
        <f t="shared" si="531"/>
        <v>0</v>
      </c>
      <c r="AH448" s="53">
        <f t="shared" si="532"/>
        <v>0</v>
      </c>
      <c r="AI448" s="36" t="s">
        <v>10</v>
      </c>
      <c r="AJ448" s="53">
        <f t="shared" si="533"/>
        <v>0</v>
      </c>
      <c r="AK448" s="53">
        <f t="shared" si="534"/>
        <v>0</v>
      </c>
      <c r="AL448" s="53">
        <f t="shared" si="535"/>
        <v>0</v>
      </c>
      <c r="AN448" s="53">
        <v>21</v>
      </c>
      <c r="AO448" s="53">
        <f>G448*0</f>
        <v>0</v>
      </c>
      <c r="AP448" s="53">
        <f>G448*(1-0)</f>
        <v>0</v>
      </c>
      <c r="AQ448" s="54" t="s">
        <v>128</v>
      </c>
      <c r="AV448" s="53">
        <f t="shared" si="536"/>
        <v>0</v>
      </c>
      <c r="AW448" s="53">
        <f t="shared" si="537"/>
        <v>0</v>
      </c>
      <c r="AX448" s="53">
        <f t="shared" si="538"/>
        <v>0</v>
      </c>
      <c r="AY448" s="54" t="s">
        <v>1407</v>
      </c>
      <c r="AZ448" s="54" t="s">
        <v>983</v>
      </c>
      <c r="BA448" s="36" t="s">
        <v>116</v>
      </c>
      <c r="BC448" s="53">
        <f t="shared" si="539"/>
        <v>0</v>
      </c>
      <c r="BD448" s="53">
        <f t="shared" si="540"/>
        <v>0</v>
      </c>
      <c r="BE448" s="53">
        <v>0</v>
      </c>
      <c r="BF448" s="53">
        <f>448</f>
        <v>448</v>
      </c>
      <c r="BH448" s="53">
        <f t="shared" si="541"/>
        <v>0</v>
      </c>
      <c r="BI448" s="53">
        <f t="shared" si="542"/>
        <v>0</v>
      </c>
      <c r="BJ448" s="53">
        <f t="shared" si="543"/>
        <v>0</v>
      </c>
      <c r="BK448" s="54" t="s">
        <v>117</v>
      </c>
      <c r="BL448" s="53"/>
      <c r="BW448" s="53">
        <v>21</v>
      </c>
      <c r="BX448" s="3" t="s">
        <v>1410</v>
      </c>
    </row>
    <row r="449" spans="1:76" ht="23" x14ac:dyDescent="0.35">
      <c r="A449" s="1" t="s">
        <v>1411</v>
      </c>
      <c r="B449" s="2" t="s">
        <v>1412</v>
      </c>
      <c r="C449" s="91" t="s">
        <v>1413</v>
      </c>
      <c r="D449" s="88"/>
      <c r="E449" s="2" t="s">
        <v>183</v>
      </c>
      <c r="F449" s="53">
        <v>203</v>
      </c>
      <c r="G449" s="77">
        <v>0</v>
      </c>
      <c r="H449" s="53">
        <f t="shared" si="524"/>
        <v>0</v>
      </c>
      <c r="I449" s="79" t="s">
        <v>1688</v>
      </c>
      <c r="J449" s="49"/>
      <c r="Z449" s="53">
        <f t="shared" si="525"/>
        <v>0</v>
      </c>
      <c r="AB449" s="53">
        <f t="shared" si="526"/>
        <v>0</v>
      </c>
      <c r="AC449" s="53">
        <f t="shared" si="527"/>
        <v>0</v>
      </c>
      <c r="AD449" s="53">
        <f t="shared" si="528"/>
        <v>0</v>
      </c>
      <c r="AE449" s="53">
        <f t="shared" si="529"/>
        <v>0</v>
      </c>
      <c r="AF449" s="53">
        <f t="shared" si="530"/>
        <v>0</v>
      </c>
      <c r="AG449" s="53">
        <f t="shared" si="531"/>
        <v>0</v>
      </c>
      <c r="AH449" s="53">
        <f t="shared" si="532"/>
        <v>0</v>
      </c>
      <c r="AI449" s="36" t="s">
        <v>10</v>
      </c>
      <c r="AJ449" s="53">
        <f t="shared" si="533"/>
        <v>0</v>
      </c>
      <c r="AK449" s="53">
        <f t="shared" si="534"/>
        <v>0</v>
      </c>
      <c r="AL449" s="53">
        <f t="shared" si="535"/>
        <v>0</v>
      </c>
      <c r="AN449" s="53">
        <v>21</v>
      </c>
      <c r="AO449" s="53">
        <f>G449*0</f>
        <v>0</v>
      </c>
      <c r="AP449" s="53">
        <f>G449*(1-0)</f>
        <v>0</v>
      </c>
      <c r="AQ449" s="54" t="s">
        <v>128</v>
      </c>
      <c r="AV449" s="53">
        <f t="shared" si="536"/>
        <v>0</v>
      </c>
      <c r="AW449" s="53">
        <f t="shared" si="537"/>
        <v>0</v>
      </c>
      <c r="AX449" s="53">
        <f t="shared" si="538"/>
        <v>0</v>
      </c>
      <c r="AY449" s="54" t="s">
        <v>1407</v>
      </c>
      <c r="AZ449" s="54" t="s">
        <v>983</v>
      </c>
      <c r="BA449" s="36" t="s">
        <v>116</v>
      </c>
      <c r="BC449" s="53">
        <f t="shared" si="539"/>
        <v>0</v>
      </c>
      <c r="BD449" s="53">
        <f t="shared" si="540"/>
        <v>0</v>
      </c>
      <c r="BE449" s="53">
        <v>0</v>
      </c>
      <c r="BF449" s="53">
        <f>449</f>
        <v>449</v>
      </c>
      <c r="BH449" s="53">
        <f t="shared" si="541"/>
        <v>0</v>
      </c>
      <c r="BI449" s="53">
        <f t="shared" si="542"/>
        <v>0</v>
      </c>
      <c r="BJ449" s="53">
        <f t="shared" si="543"/>
        <v>0</v>
      </c>
      <c r="BK449" s="54" t="s">
        <v>117</v>
      </c>
      <c r="BL449" s="53"/>
      <c r="BW449" s="53">
        <v>21</v>
      </c>
      <c r="BX449" s="3" t="s">
        <v>1413</v>
      </c>
    </row>
    <row r="450" spans="1:76" ht="23" x14ac:dyDescent="0.35">
      <c r="A450" s="1" t="s">
        <v>1414</v>
      </c>
      <c r="B450" s="2" t="s">
        <v>1415</v>
      </c>
      <c r="C450" s="91" t="s">
        <v>1416</v>
      </c>
      <c r="D450" s="88"/>
      <c r="E450" s="2" t="s">
        <v>183</v>
      </c>
      <c r="F450" s="53">
        <v>203</v>
      </c>
      <c r="G450" s="77">
        <v>0</v>
      </c>
      <c r="H450" s="53">
        <f t="shared" si="524"/>
        <v>0</v>
      </c>
      <c r="I450" s="79" t="s">
        <v>1688</v>
      </c>
      <c r="J450" s="49"/>
      <c r="Z450" s="53">
        <f t="shared" si="525"/>
        <v>0</v>
      </c>
      <c r="AB450" s="53">
        <f t="shared" si="526"/>
        <v>0</v>
      </c>
      <c r="AC450" s="53">
        <f t="shared" si="527"/>
        <v>0</v>
      </c>
      <c r="AD450" s="53">
        <f t="shared" si="528"/>
        <v>0</v>
      </c>
      <c r="AE450" s="53">
        <f t="shared" si="529"/>
        <v>0</v>
      </c>
      <c r="AF450" s="53">
        <f t="shared" si="530"/>
        <v>0</v>
      </c>
      <c r="AG450" s="53">
        <f t="shared" si="531"/>
        <v>0</v>
      </c>
      <c r="AH450" s="53">
        <f t="shared" si="532"/>
        <v>0</v>
      </c>
      <c r="AI450" s="36" t="s">
        <v>10</v>
      </c>
      <c r="AJ450" s="53">
        <f t="shared" si="533"/>
        <v>0</v>
      </c>
      <c r="AK450" s="53">
        <f t="shared" si="534"/>
        <v>0</v>
      </c>
      <c r="AL450" s="53">
        <f t="shared" si="535"/>
        <v>0</v>
      </c>
      <c r="AN450" s="53">
        <v>21</v>
      </c>
      <c r="AO450" s="53">
        <f>G450*0.009986901</f>
        <v>0</v>
      </c>
      <c r="AP450" s="53">
        <f>G450*(1-0.009986901)</f>
        <v>0</v>
      </c>
      <c r="AQ450" s="54" t="s">
        <v>128</v>
      </c>
      <c r="AV450" s="53">
        <f t="shared" si="536"/>
        <v>0</v>
      </c>
      <c r="AW450" s="53">
        <f t="shared" si="537"/>
        <v>0</v>
      </c>
      <c r="AX450" s="53">
        <f t="shared" si="538"/>
        <v>0</v>
      </c>
      <c r="AY450" s="54" t="s">
        <v>1407</v>
      </c>
      <c r="AZ450" s="54" t="s">
        <v>983</v>
      </c>
      <c r="BA450" s="36" t="s">
        <v>116</v>
      </c>
      <c r="BC450" s="53">
        <f t="shared" si="539"/>
        <v>0</v>
      </c>
      <c r="BD450" s="53">
        <f t="shared" si="540"/>
        <v>0</v>
      </c>
      <c r="BE450" s="53">
        <v>0</v>
      </c>
      <c r="BF450" s="53">
        <f>450</f>
        <v>450</v>
      </c>
      <c r="BH450" s="53">
        <f t="shared" si="541"/>
        <v>0</v>
      </c>
      <c r="BI450" s="53">
        <f t="shared" si="542"/>
        <v>0</v>
      </c>
      <c r="BJ450" s="53">
        <f t="shared" si="543"/>
        <v>0</v>
      </c>
      <c r="BK450" s="54" t="s">
        <v>117</v>
      </c>
      <c r="BL450" s="53"/>
      <c r="BW450" s="53">
        <v>21</v>
      </c>
      <c r="BX450" s="3" t="s">
        <v>1416</v>
      </c>
    </row>
    <row r="451" spans="1:76" ht="23" x14ac:dyDescent="0.35">
      <c r="A451" s="1" t="s">
        <v>1417</v>
      </c>
      <c r="B451" s="2" t="s">
        <v>1418</v>
      </c>
      <c r="C451" s="91" t="s">
        <v>1419</v>
      </c>
      <c r="D451" s="88"/>
      <c r="E451" s="2" t="s">
        <v>183</v>
      </c>
      <c r="F451" s="53">
        <v>4060</v>
      </c>
      <c r="G451" s="77">
        <v>0</v>
      </c>
      <c r="H451" s="53">
        <f t="shared" si="524"/>
        <v>0</v>
      </c>
      <c r="I451" s="79" t="s">
        <v>1688</v>
      </c>
      <c r="J451" s="49"/>
      <c r="Z451" s="53">
        <f t="shared" si="525"/>
        <v>0</v>
      </c>
      <c r="AB451" s="53">
        <f t="shared" si="526"/>
        <v>0</v>
      </c>
      <c r="AC451" s="53">
        <f t="shared" si="527"/>
        <v>0</v>
      </c>
      <c r="AD451" s="53">
        <f t="shared" si="528"/>
        <v>0</v>
      </c>
      <c r="AE451" s="53">
        <f t="shared" si="529"/>
        <v>0</v>
      </c>
      <c r="AF451" s="53">
        <f t="shared" si="530"/>
        <v>0</v>
      </c>
      <c r="AG451" s="53">
        <f t="shared" si="531"/>
        <v>0</v>
      </c>
      <c r="AH451" s="53">
        <f t="shared" si="532"/>
        <v>0</v>
      </c>
      <c r="AI451" s="36" t="s">
        <v>10</v>
      </c>
      <c r="AJ451" s="53">
        <f t="shared" si="533"/>
        <v>0</v>
      </c>
      <c r="AK451" s="53">
        <f t="shared" si="534"/>
        <v>0</v>
      </c>
      <c r="AL451" s="53">
        <f t="shared" si="535"/>
        <v>0</v>
      </c>
      <c r="AN451" s="53">
        <v>21</v>
      </c>
      <c r="AO451" s="53">
        <f t="shared" ref="AO451:AO459" si="544">G451*0</f>
        <v>0</v>
      </c>
      <c r="AP451" s="53">
        <f t="shared" ref="AP451:AP459" si="545">G451*(1-0)</f>
        <v>0</v>
      </c>
      <c r="AQ451" s="54" t="s">
        <v>128</v>
      </c>
      <c r="AV451" s="53">
        <f t="shared" si="536"/>
        <v>0</v>
      </c>
      <c r="AW451" s="53">
        <f t="shared" si="537"/>
        <v>0</v>
      </c>
      <c r="AX451" s="53">
        <f t="shared" si="538"/>
        <v>0</v>
      </c>
      <c r="AY451" s="54" t="s">
        <v>1407</v>
      </c>
      <c r="AZ451" s="54" t="s">
        <v>983</v>
      </c>
      <c r="BA451" s="36" t="s">
        <v>116</v>
      </c>
      <c r="BC451" s="53">
        <f t="shared" si="539"/>
        <v>0</v>
      </c>
      <c r="BD451" s="53">
        <f t="shared" si="540"/>
        <v>0</v>
      </c>
      <c r="BE451" s="53">
        <v>0</v>
      </c>
      <c r="BF451" s="53">
        <f>451</f>
        <v>451</v>
      </c>
      <c r="BH451" s="53">
        <f t="shared" si="541"/>
        <v>0</v>
      </c>
      <c r="BI451" s="53">
        <f t="shared" si="542"/>
        <v>0</v>
      </c>
      <c r="BJ451" s="53">
        <f t="shared" si="543"/>
        <v>0</v>
      </c>
      <c r="BK451" s="54" t="s">
        <v>117</v>
      </c>
      <c r="BL451" s="53"/>
      <c r="BW451" s="53">
        <v>21</v>
      </c>
      <c r="BX451" s="3" t="s">
        <v>1419</v>
      </c>
    </row>
    <row r="452" spans="1:76" ht="23" x14ac:dyDescent="0.35">
      <c r="A452" s="1" t="s">
        <v>1420</v>
      </c>
      <c r="B452" s="2" t="s">
        <v>1421</v>
      </c>
      <c r="C452" s="91" t="s">
        <v>1422</v>
      </c>
      <c r="D452" s="88"/>
      <c r="E452" s="2" t="s">
        <v>183</v>
      </c>
      <c r="F452" s="53">
        <v>84.04</v>
      </c>
      <c r="G452" s="77">
        <v>0</v>
      </c>
      <c r="H452" s="53">
        <f t="shared" si="524"/>
        <v>0</v>
      </c>
      <c r="I452" s="79" t="s">
        <v>1688</v>
      </c>
      <c r="J452" s="49"/>
      <c r="Z452" s="53">
        <f t="shared" si="525"/>
        <v>0</v>
      </c>
      <c r="AB452" s="53">
        <f t="shared" si="526"/>
        <v>0</v>
      </c>
      <c r="AC452" s="53">
        <f t="shared" si="527"/>
        <v>0</v>
      </c>
      <c r="AD452" s="53">
        <f t="shared" si="528"/>
        <v>0</v>
      </c>
      <c r="AE452" s="53">
        <f t="shared" si="529"/>
        <v>0</v>
      </c>
      <c r="AF452" s="53">
        <f t="shared" si="530"/>
        <v>0</v>
      </c>
      <c r="AG452" s="53">
        <f t="shared" si="531"/>
        <v>0</v>
      </c>
      <c r="AH452" s="53">
        <f t="shared" si="532"/>
        <v>0</v>
      </c>
      <c r="AI452" s="36" t="s">
        <v>10</v>
      </c>
      <c r="AJ452" s="53">
        <f t="shared" si="533"/>
        <v>0</v>
      </c>
      <c r="AK452" s="53">
        <f t="shared" si="534"/>
        <v>0</v>
      </c>
      <c r="AL452" s="53">
        <f t="shared" si="535"/>
        <v>0</v>
      </c>
      <c r="AN452" s="53">
        <v>21</v>
      </c>
      <c r="AO452" s="53">
        <f t="shared" si="544"/>
        <v>0</v>
      </c>
      <c r="AP452" s="53">
        <f t="shared" si="545"/>
        <v>0</v>
      </c>
      <c r="AQ452" s="54" t="s">
        <v>128</v>
      </c>
      <c r="AV452" s="53">
        <f t="shared" si="536"/>
        <v>0</v>
      </c>
      <c r="AW452" s="53">
        <f t="shared" si="537"/>
        <v>0</v>
      </c>
      <c r="AX452" s="53">
        <f t="shared" si="538"/>
        <v>0</v>
      </c>
      <c r="AY452" s="54" t="s">
        <v>1407</v>
      </c>
      <c r="AZ452" s="54" t="s">
        <v>983</v>
      </c>
      <c r="BA452" s="36" t="s">
        <v>116</v>
      </c>
      <c r="BC452" s="53">
        <f t="shared" si="539"/>
        <v>0</v>
      </c>
      <c r="BD452" s="53">
        <f t="shared" si="540"/>
        <v>0</v>
      </c>
      <c r="BE452" s="53">
        <v>0</v>
      </c>
      <c r="BF452" s="53">
        <f>452</f>
        <v>452</v>
      </c>
      <c r="BH452" s="53">
        <f t="shared" si="541"/>
        <v>0</v>
      </c>
      <c r="BI452" s="53">
        <f t="shared" si="542"/>
        <v>0</v>
      </c>
      <c r="BJ452" s="53">
        <f t="shared" si="543"/>
        <v>0</v>
      </c>
      <c r="BK452" s="54" t="s">
        <v>117</v>
      </c>
      <c r="BL452" s="53"/>
      <c r="BW452" s="53">
        <v>21</v>
      </c>
      <c r="BX452" s="3" t="s">
        <v>1422</v>
      </c>
    </row>
    <row r="453" spans="1:76" ht="23" x14ac:dyDescent="0.35">
      <c r="A453" s="1" t="s">
        <v>1423</v>
      </c>
      <c r="B453" s="2" t="s">
        <v>1424</v>
      </c>
      <c r="C453" s="91" t="s">
        <v>1425</v>
      </c>
      <c r="D453" s="88"/>
      <c r="E453" s="2" t="s">
        <v>183</v>
      </c>
      <c r="F453" s="53">
        <v>113</v>
      </c>
      <c r="G453" s="77">
        <v>0</v>
      </c>
      <c r="H453" s="53">
        <f t="shared" si="524"/>
        <v>0</v>
      </c>
      <c r="I453" s="79" t="s">
        <v>1688</v>
      </c>
      <c r="J453" s="49"/>
      <c r="Z453" s="53">
        <f t="shared" si="525"/>
        <v>0</v>
      </c>
      <c r="AB453" s="53">
        <f t="shared" si="526"/>
        <v>0</v>
      </c>
      <c r="AC453" s="53">
        <f t="shared" si="527"/>
        <v>0</v>
      </c>
      <c r="AD453" s="53">
        <f t="shared" si="528"/>
        <v>0</v>
      </c>
      <c r="AE453" s="53">
        <f t="shared" si="529"/>
        <v>0</v>
      </c>
      <c r="AF453" s="53">
        <f t="shared" si="530"/>
        <v>0</v>
      </c>
      <c r="AG453" s="53">
        <f t="shared" si="531"/>
        <v>0</v>
      </c>
      <c r="AH453" s="53">
        <f t="shared" si="532"/>
        <v>0</v>
      </c>
      <c r="AI453" s="36" t="s">
        <v>10</v>
      </c>
      <c r="AJ453" s="53">
        <f t="shared" si="533"/>
        <v>0</v>
      </c>
      <c r="AK453" s="53">
        <f t="shared" si="534"/>
        <v>0</v>
      </c>
      <c r="AL453" s="53">
        <f t="shared" si="535"/>
        <v>0</v>
      </c>
      <c r="AN453" s="53">
        <v>21</v>
      </c>
      <c r="AO453" s="53">
        <f t="shared" si="544"/>
        <v>0</v>
      </c>
      <c r="AP453" s="53">
        <f t="shared" si="545"/>
        <v>0</v>
      </c>
      <c r="AQ453" s="54" t="s">
        <v>128</v>
      </c>
      <c r="AV453" s="53">
        <f t="shared" si="536"/>
        <v>0</v>
      </c>
      <c r="AW453" s="53">
        <f t="shared" si="537"/>
        <v>0</v>
      </c>
      <c r="AX453" s="53">
        <f t="shared" si="538"/>
        <v>0</v>
      </c>
      <c r="AY453" s="54" t="s">
        <v>1407</v>
      </c>
      <c r="AZ453" s="54" t="s">
        <v>983</v>
      </c>
      <c r="BA453" s="36" t="s">
        <v>116</v>
      </c>
      <c r="BC453" s="53">
        <f t="shared" si="539"/>
        <v>0</v>
      </c>
      <c r="BD453" s="53">
        <f t="shared" si="540"/>
        <v>0</v>
      </c>
      <c r="BE453" s="53">
        <v>0</v>
      </c>
      <c r="BF453" s="53">
        <f>453</f>
        <v>453</v>
      </c>
      <c r="BH453" s="53">
        <f t="shared" si="541"/>
        <v>0</v>
      </c>
      <c r="BI453" s="53">
        <f t="shared" si="542"/>
        <v>0</v>
      </c>
      <c r="BJ453" s="53">
        <f t="shared" si="543"/>
        <v>0</v>
      </c>
      <c r="BK453" s="54" t="s">
        <v>117</v>
      </c>
      <c r="BL453" s="53"/>
      <c r="BW453" s="53">
        <v>21</v>
      </c>
      <c r="BX453" s="3" t="s">
        <v>1425</v>
      </c>
    </row>
    <row r="454" spans="1:76" ht="23" x14ac:dyDescent="0.35">
      <c r="A454" s="1" t="s">
        <v>1426</v>
      </c>
      <c r="B454" s="2" t="s">
        <v>1427</v>
      </c>
      <c r="C454" s="91" t="s">
        <v>1428</v>
      </c>
      <c r="D454" s="88"/>
      <c r="E454" s="2" t="s">
        <v>183</v>
      </c>
      <c r="F454" s="53">
        <v>1</v>
      </c>
      <c r="G454" s="77">
        <v>0</v>
      </c>
      <c r="H454" s="53">
        <f t="shared" si="524"/>
        <v>0</v>
      </c>
      <c r="I454" s="79" t="s">
        <v>1688</v>
      </c>
      <c r="J454" s="49"/>
      <c r="Z454" s="53">
        <f t="shared" si="525"/>
        <v>0</v>
      </c>
      <c r="AB454" s="53">
        <f t="shared" si="526"/>
        <v>0</v>
      </c>
      <c r="AC454" s="53">
        <f t="shared" si="527"/>
        <v>0</v>
      </c>
      <c r="AD454" s="53">
        <f t="shared" si="528"/>
        <v>0</v>
      </c>
      <c r="AE454" s="53">
        <f t="shared" si="529"/>
        <v>0</v>
      </c>
      <c r="AF454" s="53">
        <f t="shared" si="530"/>
        <v>0</v>
      </c>
      <c r="AG454" s="53">
        <f t="shared" si="531"/>
        <v>0</v>
      </c>
      <c r="AH454" s="53">
        <f t="shared" si="532"/>
        <v>0</v>
      </c>
      <c r="AI454" s="36" t="s">
        <v>10</v>
      </c>
      <c r="AJ454" s="53">
        <f t="shared" si="533"/>
        <v>0</v>
      </c>
      <c r="AK454" s="53">
        <f t="shared" si="534"/>
        <v>0</v>
      </c>
      <c r="AL454" s="53">
        <f t="shared" si="535"/>
        <v>0</v>
      </c>
      <c r="AN454" s="53">
        <v>21</v>
      </c>
      <c r="AO454" s="53">
        <f t="shared" si="544"/>
        <v>0</v>
      </c>
      <c r="AP454" s="53">
        <f t="shared" si="545"/>
        <v>0</v>
      </c>
      <c r="AQ454" s="54" t="s">
        <v>128</v>
      </c>
      <c r="AV454" s="53">
        <f t="shared" si="536"/>
        <v>0</v>
      </c>
      <c r="AW454" s="53">
        <f t="shared" si="537"/>
        <v>0</v>
      </c>
      <c r="AX454" s="53">
        <f t="shared" si="538"/>
        <v>0</v>
      </c>
      <c r="AY454" s="54" t="s">
        <v>1407</v>
      </c>
      <c r="AZ454" s="54" t="s">
        <v>983</v>
      </c>
      <c r="BA454" s="36" t="s">
        <v>116</v>
      </c>
      <c r="BC454" s="53">
        <f t="shared" si="539"/>
        <v>0</v>
      </c>
      <c r="BD454" s="53">
        <f t="shared" si="540"/>
        <v>0</v>
      </c>
      <c r="BE454" s="53">
        <v>0</v>
      </c>
      <c r="BF454" s="53">
        <f>454</f>
        <v>454</v>
      </c>
      <c r="BH454" s="53">
        <f t="shared" si="541"/>
        <v>0</v>
      </c>
      <c r="BI454" s="53">
        <f t="shared" si="542"/>
        <v>0</v>
      </c>
      <c r="BJ454" s="53">
        <f t="shared" si="543"/>
        <v>0</v>
      </c>
      <c r="BK454" s="54" t="s">
        <v>117</v>
      </c>
      <c r="BL454" s="53"/>
      <c r="BW454" s="53">
        <v>21</v>
      </c>
      <c r="BX454" s="3" t="s">
        <v>1428</v>
      </c>
    </row>
    <row r="455" spans="1:76" ht="23" x14ac:dyDescent="0.35">
      <c r="A455" s="1" t="s">
        <v>1429</v>
      </c>
      <c r="B455" s="2" t="s">
        <v>1430</v>
      </c>
      <c r="C455" s="91" t="s">
        <v>1431</v>
      </c>
      <c r="D455" s="88"/>
      <c r="E455" s="2" t="s">
        <v>183</v>
      </c>
      <c r="F455" s="53">
        <v>60</v>
      </c>
      <c r="G455" s="77">
        <v>0</v>
      </c>
      <c r="H455" s="53">
        <f t="shared" si="524"/>
        <v>0</v>
      </c>
      <c r="I455" s="79" t="s">
        <v>1688</v>
      </c>
      <c r="J455" s="49"/>
      <c r="Z455" s="53">
        <f t="shared" si="525"/>
        <v>0</v>
      </c>
      <c r="AB455" s="53">
        <f t="shared" si="526"/>
        <v>0</v>
      </c>
      <c r="AC455" s="53">
        <f t="shared" si="527"/>
        <v>0</v>
      </c>
      <c r="AD455" s="53">
        <f t="shared" si="528"/>
        <v>0</v>
      </c>
      <c r="AE455" s="53">
        <f t="shared" si="529"/>
        <v>0</v>
      </c>
      <c r="AF455" s="53">
        <f t="shared" si="530"/>
        <v>0</v>
      </c>
      <c r="AG455" s="53">
        <f t="shared" si="531"/>
        <v>0</v>
      </c>
      <c r="AH455" s="53">
        <f t="shared" si="532"/>
        <v>0</v>
      </c>
      <c r="AI455" s="36" t="s">
        <v>10</v>
      </c>
      <c r="AJ455" s="53">
        <f t="shared" si="533"/>
        <v>0</v>
      </c>
      <c r="AK455" s="53">
        <f t="shared" si="534"/>
        <v>0</v>
      </c>
      <c r="AL455" s="53">
        <f t="shared" si="535"/>
        <v>0</v>
      </c>
      <c r="AN455" s="53">
        <v>21</v>
      </c>
      <c r="AO455" s="53">
        <f t="shared" si="544"/>
        <v>0</v>
      </c>
      <c r="AP455" s="53">
        <f t="shared" si="545"/>
        <v>0</v>
      </c>
      <c r="AQ455" s="54" t="s">
        <v>128</v>
      </c>
      <c r="AV455" s="53">
        <f t="shared" si="536"/>
        <v>0</v>
      </c>
      <c r="AW455" s="53">
        <f t="shared" si="537"/>
        <v>0</v>
      </c>
      <c r="AX455" s="53">
        <f t="shared" si="538"/>
        <v>0</v>
      </c>
      <c r="AY455" s="54" t="s">
        <v>1407</v>
      </c>
      <c r="AZ455" s="54" t="s">
        <v>983</v>
      </c>
      <c r="BA455" s="36" t="s">
        <v>116</v>
      </c>
      <c r="BC455" s="53">
        <f t="shared" si="539"/>
        <v>0</v>
      </c>
      <c r="BD455" s="53">
        <f t="shared" si="540"/>
        <v>0</v>
      </c>
      <c r="BE455" s="53">
        <v>0</v>
      </c>
      <c r="BF455" s="53">
        <f>455</f>
        <v>455</v>
      </c>
      <c r="BH455" s="53">
        <f t="shared" si="541"/>
        <v>0</v>
      </c>
      <c r="BI455" s="53">
        <f t="shared" si="542"/>
        <v>0</v>
      </c>
      <c r="BJ455" s="53">
        <f t="shared" si="543"/>
        <v>0</v>
      </c>
      <c r="BK455" s="54" t="s">
        <v>117</v>
      </c>
      <c r="BL455" s="53"/>
      <c r="BW455" s="53">
        <v>21</v>
      </c>
      <c r="BX455" s="3" t="s">
        <v>1431</v>
      </c>
    </row>
    <row r="456" spans="1:76" ht="23" x14ac:dyDescent="0.35">
      <c r="A456" s="1" t="s">
        <v>1432</v>
      </c>
      <c r="B456" s="2" t="s">
        <v>1433</v>
      </c>
      <c r="C456" s="91" t="s">
        <v>1434</v>
      </c>
      <c r="D456" s="88"/>
      <c r="E456" s="2" t="s">
        <v>183</v>
      </c>
      <c r="F456" s="53">
        <v>18</v>
      </c>
      <c r="G456" s="77">
        <v>0</v>
      </c>
      <c r="H456" s="53">
        <f t="shared" si="524"/>
        <v>0</v>
      </c>
      <c r="I456" s="79" t="s">
        <v>1688</v>
      </c>
      <c r="J456" s="49"/>
      <c r="Z456" s="53">
        <f t="shared" si="525"/>
        <v>0</v>
      </c>
      <c r="AB456" s="53">
        <f t="shared" si="526"/>
        <v>0</v>
      </c>
      <c r="AC456" s="53">
        <f t="shared" si="527"/>
        <v>0</v>
      </c>
      <c r="AD456" s="53">
        <f t="shared" si="528"/>
        <v>0</v>
      </c>
      <c r="AE456" s="53">
        <f t="shared" si="529"/>
        <v>0</v>
      </c>
      <c r="AF456" s="53">
        <f t="shared" si="530"/>
        <v>0</v>
      </c>
      <c r="AG456" s="53">
        <f t="shared" si="531"/>
        <v>0</v>
      </c>
      <c r="AH456" s="53">
        <f t="shared" si="532"/>
        <v>0</v>
      </c>
      <c r="AI456" s="36" t="s">
        <v>10</v>
      </c>
      <c r="AJ456" s="53">
        <f t="shared" si="533"/>
        <v>0</v>
      </c>
      <c r="AK456" s="53">
        <f t="shared" si="534"/>
        <v>0</v>
      </c>
      <c r="AL456" s="53">
        <f t="shared" si="535"/>
        <v>0</v>
      </c>
      <c r="AN456" s="53">
        <v>21</v>
      </c>
      <c r="AO456" s="53">
        <f t="shared" si="544"/>
        <v>0</v>
      </c>
      <c r="AP456" s="53">
        <f t="shared" si="545"/>
        <v>0</v>
      </c>
      <c r="AQ456" s="54" t="s">
        <v>128</v>
      </c>
      <c r="AV456" s="53">
        <f t="shared" si="536"/>
        <v>0</v>
      </c>
      <c r="AW456" s="53">
        <f t="shared" si="537"/>
        <v>0</v>
      </c>
      <c r="AX456" s="53">
        <f t="shared" si="538"/>
        <v>0</v>
      </c>
      <c r="AY456" s="54" t="s">
        <v>1407</v>
      </c>
      <c r="AZ456" s="54" t="s">
        <v>983</v>
      </c>
      <c r="BA456" s="36" t="s">
        <v>116</v>
      </c>
      <c r="BC456" s="53">
        <f t="shared" si="539"/>
        <v>0</v>
      </c>
      <c r="BD456" s="53">
        <f t="shared" si="540"/>
        <v>0</v>
      </c>
      <c r="BE456" s="53">
        <v>0</v>
      </c>
      <c r="BF456" s="53">
        <f>456</f>
        <v>456</v>
      </c>
      <c r="BH456" s="53">
        <f t="shared" si="541"/>
        <v>0</v>
      </c>
      <c r="BI456" s="53">
        <f t="shared" si="542"/>
        <v>0</v>
      </c>
      <c r="BJ456" s="53">
        <f t="shared" si="543"/>
        <v>0</v>
      </c>
      <c r="BK456" s="54" t="s">
        <v>117</v>
      </c>
      <c r="BL456" s="53"/>
      <c r="BW456" s="53">
        <v>21</v>
      </c>
      <c r="BX456" s="3" t="s">
        <v>1434</v>
      </c>
    </row>
    <row r="457" spans="1:76" ht="23" x14ac:dyDescent="0.35">
      <c r="A457" s="1" t="s">
        <v>1435</v>
      </c>
      <c r="B457" s="2" t="s">
        <v>1436</v>
      </c>
      <c r="C457" s="91" t="s">
        <v>1437</v>
      </c>
      <c r="D457" s="88"/>
      <c r="E457" s="2" t="s">
        <v>183</v>
      </c>
      <c r="F457" s="53">
        <v>2</v>
      </c>
      <c r="G457" s="77">
        <v>0</v>
      </c>
      <c r="H457" s="53">
        <f t="shared" si="524"/>
        <v>0</v>
      </c>
      <c r="I457" s="79" t="s">
        <v>1688</v>
      </c>
      <c r="J457" s="49"/>
      <c r="Z457" s="53">
        <f t="shared" si="525"/>
        <v>0</v>
      </c>
      <c r="AB457" s="53">
        <f t="shared" si="526"/>
        <v>0</v>
      </c>
      <c r="AC457" s="53">
        <f t="shared" si="527"/>
        <v>0</v>
      </c>
      <c r="AD457" s="53">
        <f t="shared" si="528"/>
        <v>0</v>
      </c>
      <c r="AE457" s="53">
        <f t="shared" si="529"/>
        <v>0</v>
      </c>
      <c r="AF457" s="53">
        <f t="shared" si="530"/>
        <v>0</v>
      </c>
      <c r="AG457" s="53">
        <f t="shared" si="531"/>
        <v>0</v>
      </c>
      <c r="AH457" s="53">
        <f t="shared" si="532"/>
        <v>0</v>
      </c>
      <c r="AI457" s="36" t="s">
        <v>10</v>
      </c>
      <c r="AJ457" s="53">
        <f t="shared" si="533"/>
        <v>0</v>
      </c>
      <c r="AK457" s="53">
        <f t="shared" si="534"/>
        <v>0</v>
      </c>
      <c r="AL457" s="53">
        <f t="shared" si="535"/>
        <v>0</v>
      </c>
      <c r="AN457" s="53">
        <v>21</v>
      </c>
      <c r="AO457" s="53">
        <f t="shared" si="544"/>
        <v>0</v>
      </c>
      <c r="AP457" s="53">
        <f t="shared" si="545"/>
        <v>0</v>
      </c>
      <c r="AQ457" s="54" t="s">
        <v>128</v>
      </c>
      <c r="AV457" s="53">
        <f t="shared" si="536"/>
        <v>0</v>
      </c>
      <c r="AW457" s="53">
        <f t="shared" si="537"/>
        <v>0</v>
      </c>
      <c r="AX457" s="53">
        <f t="shared" si="538"/>
        <v>0</v>
      </c>
      <c r="AY457" s="54" t="s">
        <v>1407</v>
      </c>
      <c r="AZ457" s="54" t="s">
        <v>983</v>
      </c>
      <c r="BA457" s="36" t="s">
        <v>116</v>
      </c>
      <c r="BC457" s="53">
        <f t="shared" si="539"/>
        <v>0</v>
      </c>
      <c r="BD457" s="53">
        <f t="shared" si="540"/>
        <v>0</v>
      </c>
      <c r="BE457" s="53">
        <v>0</v>
      </c>
      <c r="BF457" s="53">
        <f>457</f>
        <v>457</v>
      </c>
      <c r="BH457" s="53">
        <f t="shared" si="541"/>
        <v>0</v>
      </c>
      <c r="BI457" s="53">
        <f t="shared" si="542"/>
        <v>0</v>
      </c>
      <c r="BJ457" s="53">
        <f t="shared" si="543"/>
        <v>0</v>
      </c>
      <c r="BK457" s="54" t="s">
        <v>117</v>
      </c>
      <c r="BL457" s="53"/>
      <c r="BW457" s="53">
        <v>21</v>
      </c>
      <c r="BX457" s="3" t="s">
        <v>1437</v>
      </c>
    </row>
    <row r="458" spans="1:76" ht="23" x14ac:dyDescent="0.35">
      <c r="A458" s="1" t="s">
        <v>1438</v>
      </c>
      <c r="B458" s="2" t="s">
        <v>1439</v>
      </c>
      <c r="C458" s="91" t="s">
        <v>1440</v>
      </c>
      <c r="D458" s="88"/>
      <c r="E458" s="2" t="s">
        <v>183</v>
      </c>
      <c r="F458" s="53">
        <v>1.5</v>
      </c>
      <c r="G458" s="77">
        <v>0</v>
      </c>
      <c r="H458" s="53">
        <f t="shared" si="524"/>
        <v>0</v>
      </c>
      <c r="I458" s="79" t="s">
        <v>1688</v>
      </c>
      <c r="J458" s="49"/>
      <c r="Z458" s="53">
        <f t="shared" si="525"/>
        <v>0</v>
      </c>
      <c r="AB458" s="53">
        <f t="shared" si="526"/>
        <v>0</v>
      </c>
      <c r="AC458" s="53">
        <f t="shared" si="527"/>
        <v>0</v>
      </c>
      <c r="AD458" s="53">
        <f t="shared" si="528"/>
        <v>0</v>
      </c>
      <c r="AE458" s="53">
        <f t="shared" si="529"/>
        <v>0</v>
      </c>
      <c r="AF458" s="53">
        <f t="shared" si="530"/>
        <v>0</v>
      </c>
      <c r="AG458" s="53">
        <f t="shared" si="531"/>
        <v>0</v>
      </c>
      <c r="AH458" s="53">
        <f t="shared" si="532"/>
        <v>0</v>
      </c>
      <c r="AI458" s="36" t="s">
        <v>10</v>
      </c>
      <c r="AJ458" s="53">
        <f t="shared" si="533"/>
        <v>0</v>
      </c>
      <c r="AK458" s="53">
        <f t="shared" si="534"/>
        <v>0</v>
      </c>
      <c r="AL458" s="53">
        <f t="shared" si="535"/>
        <v>0</v>
      </c>
      <c r="AN458" s="53">
        <v>21</v>
      </c>
      <c r="AO458" s="53">
        <f t="shared" si="544"/>
        <v>0</v>
      </c>
      <c r="AP458" s="53">
        <f t="shared" si="545"/>
        <v>0</v>
      </c>
      <c r="AQ458" s="54" t="s">
        <v>128</v>
      </c>
      <c r="AV458" s="53">
        <f t="shared" si="536"/>
        <v>0</v>
      </c>
      <c r="AW458" s="53">
        <f t="shared" si="537"/>
        <v>0</v>
      </c>
      <c r="AX458" s="53">
        <f t="shared" si="538"/>
        <v>0</v>
      </c>
      <c r="AY458" s="54" t="s">
        <v>1407</v>
      </c>
      <c r="AZ458" s="54" t="s">
        <v>983</v>
      </c>
      <c r="BA458" s="36" t="s">
        <v>116</v>
      </c>
      <c r="BC458" s="53">
        <f t="shared" si="539"/>
        <v>0</v>
      </c>
      <c r="BD458" s="53">
        <f t="shared" si="540"/>
        <v>0</v>
      </c>
      <c r="BE458" s="53">
        <v>0</v>
      </c>
      <c r="BF458" s="53">
        <f>458</f>
        <v>458</v>
      </c>
      <c r="BH458" s="53">
        <f t="shared" si="541"/>
        <v>0</v>
      </c>
      <c r="BI458" s="53">
        <f t="shared" si="542"/>
        <v>0</v>
      </c>
      <c r="BJ458" s="53">
        <f t="shared" si="543"/>
        <v>0</v>
      </c>
      <c r="BK458" s="54" t="s">
        <v>117</v>
      </c>
      <c r="BL458" s="53"/>
      <c r="BW458" s="53">
        <v>21</v>
      </c>
      <c r="BX458" s="3" t="s">
        <v>1440</v>
      </c>
    </row>
    <row r="459" spans="1:76" ht="23" x14ac:dyDescent="0.35">
      <c r="A459" s="4" t="s">
        <v>1441</v>
      </c>
      <c r="B459" s="5" t="s">
        <v>1442</v>
      </c>
      <c r="C459" s="175" t="s">
        <v>1443</v>
      </c>
      <c r="D459" s="98"/>
      <c r="E459" s="5" t="s">
        <v>183</v>
      </c>
      <c r="F459" s="55">
        <v>1</v>
      </c>
      <c r="G459" s="80">
        <v>0</v>
      </c>
      <c r="H459" s="55">
        <f t="shared" si="524"/>
        <v>0</v>
      </c>
      <c r="I459" s="79" t="s">
        <v>1688</v>
      </c>
      <c r="J459" s="56"/>
      <c r="Z459" s="53">
        <f t="shared" si="525"/>
        <v>0</v>
      </c>
      <c r="AB459" s="53">
        <f t="shared" si="526"/>
        <v>0</v>
      </c>
      <c r="AC459" s="53">
        <f t="shared" si="527"/>
        <v>0</v>
      </c>
      <c r="AD459" s="53">
        <f t="shared" si="528"/>
        <v>0</v>
      </c>
      <c r="AE459" s="53">
        <f t="shared" si="529"/>
        <v>0</v>
      </c>
      <c r="AF459" s="53">
        <f t="shared" si="530"/>
        <v>0</v>
      </c>
      <c r="AG459" s="53">
        <f t="shared" si="531"/>
        <v>0</v>
      </c>
      <c r="AH459" s="53">
        <f t="shared" si="532"/>
        <v>0</v>
      </c>
      <c r="AI459" s="36" t="s">
        <v>10</v>
      </c>
      <c r="AJ459" s="53">
        <f t="shared" si="533"/>
        <v>0</v>
      </c>
      <c r="AK459" s="53">
        <f t="shared" si="534"/>
        <v>0</v>
      </c>
      <c r="AL459" s="53">
        <f t="shared" si="535"/>
        <v>0</v>
      </c>
      <c r="AN459" s="53">
        <v>21</v>
      </c>
      <c r="AO459" s="53">
        <f t="shared" si="544"/>
        <v>0</v>
      </c>
      <c r="AP459" s="53">
        <f t="shared" si="545"/>
        <v>0</v>
      </c>
      <c r="AQ459" s="54" t="s">
        <v>128</v>
      </c>
      <c r="AV459" s="53">
        <f t="shared" si="536"/>
        <v>0</v>
      </c>
      <c r="AW459" s="53">
        <f t="shared" si="537"/>
        <v>0</v>
      </c>
      <c r="AX459" s="53">
        <f t="shared" si="538"/>
        <v>0</v>
      </c>
      <c r="AY459" s="54" t="s">
        <v>1407</v>
      </c>
      <c r="AZ459" s="54" t="s">
        <v>983</v>
      </c>
      <c r="BA459" s="36" t="s">
        <v>116</v>
      </c>
      <c r="BC459" s="53">
        <f t="shared" si="539"/>
        <v>0</v>
      </c>
      <c r="BD459" s="53">
        <f t="shared" si="540"/>
        <v>0</v>
      </c>
      <c r="BE459" s="53">
        <v>0</v>
      </c>
      <c r="BF459" s="53">
        <f>459</f>
        <v>459</v>
      </c>
      <c r="BH459" s="53">
        <f t="shared" si="541"/>
        <v>0</v>
      </c>
      <c r="BI459" s="53">
        <f t="shared" si="542"/>
        <v>0</v>
      </c>
      <c r="BJ459" s="53">
        <f t="shared" si="543"/>
        <v>0</v>
      </c>
      <c r="BK459" s="54" t="s">
        <v>117</v>
      </c>
      <c r="BL459" s="53"/>
      <c r="BW459" s="53">
        <v>21</v>
      </c>
      <c r="BX459" s="3" t="s">
        <v>1443</v>
      </c>
    </row>
    <row r="460" spans="1:76" ht="14.5" x14ac:dyDescent="0.35">
      <c r="H460" s="57">
        <f>ROUND(H13+H21+H29+H32+H39+H44+H48+H50+H57+H64+H71+H76+H78+H80+H82+H117+H142+H156+H158+H198+H212+H224+H234+H247+H262+H272+H281+H289+H293+H296+H302+H304+H312+H314+H333+H335+H388+H409+H421+H433+H446,0)</f>
        <v>0</v>
      </c>
    </row>
    <row r="461" spans="1:76" ht="14.5" x14ac:dyDescent="0.35">
      <c r="H461" s="58">
        <v>0</v>
      </c>
    </row>
    <row r="462" spans="1:76" ht="14.5" x14ac:dyDescent="0.35">
      <c r="H462" s="58">
        <f>ROUND(H460*(1-H461/100),0)</f>
        <v>0</v>
      </c>
    </row>
    <row r="463" spans="1:76" ht="14.5" x14ac:dyDescent="0.35">
      <c r="A463" s="59" t="s">
        <v>60</v>
      </c>
    </row>
    <row r="464" spans="1:76" ht="12.75" customHeight="1" x14ac:dyDescent="0.35">
      <c r="A464" s="91" t="s">
        <v>10</v>
      </c>
      <c r="B464" s="88"/>
      <c r="C464" s="88"/>
      <c r="D464" s="88"/>
      <c r="E464" s="88"/>
      <c r="F464" s="88"/>
      <c r="G464" s="88"/>
      <c r="H464" s="88"/>
      <c r="I464" s="88"/>
      <c r="J464" s="88"/>
    </row>
  </sheetData>
  <sheetProtection algorithmName="SHA-512" hashValue="7ybYyOGPpfO1MT045+NoREk2PpwpIdhAltaECr1uaedzOoURgnDk5zWWmPmwrM788C0dMsftrNJSOdX1il3nOQ==" saltValue="H45PKgtiVBKDneJKYFDH+A==" spinCount="100000" sheet="1" objects="1" scenarios="1"/>
  <mergeCells count="476">
    <mergeCell ref="C456:D456"/>
    <mergeCell ref="C457:D457"/>
    <mergeCell ref="C458:D458"/>
    <mergeCell ref="C459:D459"/>
    <mergeCell ref="A464:J464"/>
    <mergeCell ref="C451:D451"/>
    <mergeCell ref="C452:D452"/>
    <mergeCell ref="C453:D453"/>
    <mergeCell ref="C454:D454"/>
    <mergeCell ref="C455:D455"/>
    <mergeCell ref="C446:D446"/>
    <mergeCell ref="C447:D447"/>
    <mergeCell ref="C448:D448"/>
    <mergeCell ref="C449:D449"/>
    <mergeCell ref="C450:D450"/>
    <mergeCell ref="C441:D441"/>
    <mergeCell ref="C442:D442"/>
    <mergeCell ref="C443:D443"/>
    <mergeCell ref="C444:D444"/>
    <mergeCell ref="C445:D445"/>
    <mergeCell ref="C436:D436"/>
    <mergeCell ref="C437:D437"/>
    <mergeCell ref="C438:D438"/>
    <mergeCell ref="C439:D439"/>
    <mergeCell ref="C440:D440"/>
    <mergeCell ref="C431:D431"/>
    <mergeCell ref="C432:D432"/>
    <mergeCell ref="C433:D433"/>
    <mergeCell ref="C434:D434"/>
    <mergeCell ref="C435:D435"/>
    <mergeCell ref="C426:D426"/>
    <mergeCell ref="C427:D427"/>
    <mergeCell ref="C428:D428"/>
    <mergeCell ref="C429:D429"/>
    <mergeCell ref="C430:D430"/>
    <mergeCell ref="C421:D421"/>
    <mergeCell ref="C422:D422"/>
    <mergeCell ref="C423:D423"/>
    <mergeCell ref="C424:D424"/>
    <mergeCell ref="C425:D425"/>
    <mergeCell ref="C416:D416"/>
    <mergeCell ref="C417:D417"/>
    <mergeCell ref="C418:D418"/>
    <mergeCell ref="C419:D419"/>
    <mergeCell ref="C420:D420"/>
    <mergeCell ref="C411:D411"/>
    <mergeCell ref="C412:D412"/>
    <mergeCell ref="C413:D413"/>
    <mergeCell ref="C414:D414"/>
    <mergeCell ref="C415:D415"/>
    <mergeCell ref="C406:D406"/>
    <mergeCell ref="C407:D407"/>
    <mergeCell ref="C408:D408"/>
    <mergeCell ref="C409:D409"/>
    <mergeCell ref="C410:D410"/>
    <mergeCell ref="C401:D401"/>
    <mergeCell ref="C402:D402"/>
    <mergeCell ref="C403:D403"/>
    <mergeCell ref="C404:D404"/>
    <mergeCell ref="C405:D405"/>
    <mergeCell ref="C396:D396"/>
    <mergeCell ref="C397:D397"/>
    <mergeCell ref="C398:D398"/>
    <mergeCell ref="C399:D399"/>
    <mergeCell ref="C400:D400"/>
    <mergeCell ref="C391:D391"/>
    <mergeCell ref="C392:D392"/>
    <mergeCell ref="C393:D393"/>
    <mergeCell ref="C394:D394"/>
    <mergeCell ref="C395:D395"/>
    <mergeCell ref="C386:D386"/>
    <mergeCell ref="C387:D387"/>
    <mergeCell ref="C388:D388"/>
    <mergeCell ref="C389:D389"/>
    <mergeCell ref="C390:D390"/>
    <mergeCell ref="C381:D381"/>
    <mergeCell ref="C382:D382"/>
    <mergeCell ref="C383:D383"/>
    <mergeCell ref="C384:D384"/>
    <mergeCell ref="C385:D385"/>
    <mergeCell ref="C376:D376"/>
    <mergeCell ref="C377:D377"/>
    <mergeCell ref="C378:D378"/>
    <mergeCell ref="C379:D379"/>
    <mergeCell ref="C380:D380"/>
    <mergeCell ref="C371:D371"/>
    <mergeCell ref="C372:D372"/>
    <mergeCell ref="C373:D373"/>
    <mergeCell ref="C374:D374"/>
    <mergeCell ref="C375:D375"/>
    <mergeCell ref="C366:D366"/>
    <mergeCell ref="C367:D367"/>
    <mergeCell ref="C368:D368"/>
    <mergeCell ref="C369:D369"/>
    <mergeCell ref="C370:D370"/>
    <mergeCell ref="C361:D361"/>
    <mergeCell ref="C362:D362"/>
    <mergeCell ref="C363:D363"/>
    <mergeCell ref="C364:D364"/>
    <mergeCell ref="C365:D365"/>
    <mergeCell ref="C356:D356"/>
    <mergeCell ref="C357:D357"/>
    <mergeCell ref="C358:D358"/>
    <mergeCell ref="C359:D359"/>
    <mergeCell ref="C360:D360"/>
    <mergeCell ref="C351:D351"/>
    <mergeCell ref="C352:D352"/>
    <mergeCell ref="C353:D353"/>
    <mergeCell ref="C354:D354"/>
    <mergeCell ref="C355:D355"/>
    <mergeCell ref="C346:D346"/>
    <mergeCell ref="C347:D347"/>
    <mergeCell ref="C348:D348"/>
    <mergeCell ref="C349:D349"/>
    <mergeCell ref="C350:D350"/>
    <mergeCell ref="C341:D341"/>
    <mergeCell ref="C342:D342"/>
    <mergeCell ref="C343:D343"/>
    <mergeCell ref="C344:D344"/>
    <mergeCell ref="C345:D345"/>
    <mergeCell ref="C336:D336"/>
    <mergeCell ref="C337:D337"/>
    <mergeCell ref="C338:D338"/>
    <mergeCell ref="C339:D339"/>
    <mergeCell ref="C340:D340"/>
    <mergeCell ref="C331:D331"/>
    <mergeCell ref="C332:D332"/>
    <mergeCell ref="C333:D333"/>
    <mergeCell ref="C334:D334"/>
    <mergeCell ref="C335:D335"/>
    <mergeCell ref="C326:D326"/>
    <mergeCell ref="C327:D327"/>
    <mergeCell ref="C328:D328"/>
    <mergeCell ref="C329:D329"/>
    <mergeCell ref="C330:D330"/>
    <mergeCell ref="C321:D321"/>
    <mergeCell ref="C322:D322"/>
    <mergeCell ref="C323:D323"/>
    <mergeCell ref="C324:D324"/>
    <mergeCell ref="C325:D325"/>
    <mergeCell ref="C316:D316"/>
    <mergeCell ref="C317:D317"/>
    <mergeCell ref="C318:D318"/>
    <mergeCell ref="C319:D319"/>
    <mergeCell ref="C320:D320"/>
    <mergeCell ref="C311:D311"/>
    <mergeCell ref="C312:D312"/>
    <mergeCell ref="C313:D313"/>
    <mergeCell ref="C314:D314"/>
    <mergeCell ref="C315:D315"/>
    <mergeCell ref="C306:D306"/>
    <mergeCell ref="C307:D307"/>
    <mergeCell ref="C308:D308"/>
    <mergeCell ref="C309:D309"/>
    <mergeCell ref="C310:D310"/>
    <mergeCell ref="C301:D301"/>
    <mergeCell ref="C302:D302"/>
    <mergeCell ref="C303:D303"/>
    <mergeCell ref="C304:D304"/>
    <mergeCell ref="C305:D305"/>
    <mergeCell ref="C296:D296"/>
    <mergeCell ref="C297:D297"/>
    <mergeCell ref="C298:D298"/>
    <mergeCell ref="C299:D299"/>
    <mergeCell ref="C300:D300"/>
    <mergeCell ref="C291:D291"/>
    <mergeCell ref="C292:D292"/>
    <mergeCell ref="C293:D293"/>
    <mergeCell ref="C294:D294"/>
    <mergeCell ref="C295:D295"/>
    <mergeCell ref="C286:D286"/>
    <mergeCell ref="C287:D287"/>
    <mergeCell ref="C288:D288"/>
    <mergeCell ref="C289:D289"/>
    <mergeCell ref="C290:D290"/>
    <mergeCell ref="C281:D281"/>
    <mergeCell ref="C282:D282"/>
    <mergeCell ref="C283:D283"/>
    <mergeCell ref="C284:D284"/>
    <mergeCell ref="C285:D285"/>
    <mergeCell ref="C276:D276"/>
    <mergeCell ref="C277:D277"/>
    <mergeCell ref="C278:D278"/>
    <mergeCell ref="C279:D279"/>
    <mergeCell ref="C280:D280"/>
    <mergeCell ref="C271:D271"/>
    <mergeCell ref="C272:D272"/>
    <mergeCell ref="C273:D273"/>
    <mergeCell ref="C274:D274"/>
    <mergeCell ref="C275:D275"/>
    <mergeCell ref="C266:D266"/>
    <mergeCell ref="C267:D267"/>
    <mergeCell ref="C268:D268"/>
    <mergeCell ref="C269:D269"/>
    <mergeCell ref="C270:D270"/>
    <mergeCell ref="C261:D261"/>
    <mergeCell ref="C262:D262"/>
    <mergeCell ref="C263:D263"/>
    <mergeCell ref="C264:D264"/>
    <mergeCell ref="C265:D265"/>
    <mergeCell ref="C256:D256"/>
    <mergeCell ref="C257:D257"/>
    <mergeCell ref="C258:D258"/>
    <mergeCell ref="C259:D259"/>
    <mergeCell ref="C260:D260"/>
    <mergeCell ref="C251:D251"/>
    <mergeCell ref="C252:D252"/>
    <mergeCell ref="C253:D253"/>
    <mergeCell ref="C254:D254"/>
    <mergeCell ref="C255:D255"/>
    <mergeCell ref="C246:D246"/>
    <mergeCell ref="C247:D247"/>
    <mergeCell ref="C248:D248"/>
    <mergeCell ref="C249:D249"/>
    <mergeCell ref="C250:D250"/>
    <mergeCell ref="C241:D241"/>
    <mergeCell ref="C242:D242"/>
    <mergeCell ref="C243:D243"/>
    <mergeCell ref="C244:D244"/>
    <mergeCell ref="C245:D245"/>
    <mergeCell ref="C236:D236"/>
    <mergeCell ref="C237:D237"/>
    <mergeCell ref="C238:D238"/>
    <mergeCell ref="C239:D239"/>
    <mergeCell ref="C240:D240"/>
    <mergeCell ref="C231:D231"/>
    <mergeCell ref="C232:D232"/>
    <mergeCell ref="C233:D233"/>
    <mergeCell ref="C234:D234"/>
    <mergeCell ref="C235:D235"/>
    <mergeCell ref="C226:D226"/>
    <mergeCell ref="C227:D227"/>
    <mergeCell ref="C228:D228"/>
    <mergeCell ref="C229:D229"/>
    <mergeCell ref="C230:D230"/>
    <mergeCell ref="C221:D221"/>
    <mergeCell ref="C222:D222"/>
    <mergeCell ref="C223:D223"/>
    <mergeCell ref="C224:D224"/>
    <mergeCell ref="C225:D225"/>
    <mergeCell ref="C216:D216"/>
    <mergeCell ref="C217:D217"/>
    <mergeCell ref="C218:D218"/>
    <mergeCell ref="C219:D219"/>
    <mergeCell ref="C220:D220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  <mergeCell ref="C190:D190"/>
    <mergeCell ref="C181:D181"/>
    <mergeCell ref="C182:D182"/>
    <mergeCell ref="C183:D183"/>
    <mergeCell ref="C184:D184"/>
    <mergeCell ref="C185:D185"/>
    <mergeCell ref="C176:D176"/>
    <mergeCell ref="C177:D177"/>
    <mergeCell ref="C178:D178"/>
    <mergeCell ref="C179:D179"/>
    <mergeCell ref="C180:D180"/>
    <mergeCell ref="C171:D171"/>
    <mergeCell ref="C172:D172"/>
    <mergeCell ref="C173:D173"/>
    <mergeCell ref="C174:D174"/>
    <mergeCell ref="C175:D175"/>
    <mergeCell ref="C166:D166"/>
    <mergeCell ref="C167:D167"/>
    <mergeCell ref="C168:D168"/>
    <mergeCell ref="C169:D169"/>
    <mergeCell ref="C170:D170"/>
    <mergeCell ref="C161:D161"/>
    <mergeCell ref="C162:D162"/>
    <mergeCell ref="C163:D163"/>
    <mergeCell ref="C164:D164"/>
    <mergeCell ref="C165:D165"/>
    <mergeCell ref="C156:D156"/>
    <mergeCell ref="C157:D157"/>
    <mergeCell ref="C158:D158"/>
    <mergeCell ref="C159:D159"/>
    <mergeCell ref="C160:D160"/>
    <mergeCell ref="C151:D151"/>
    <mergeCell ref="C152:D152"/>
    <mergeCell ref="C153:D153"/>
    <mergeCell ref="C154:D154"/>
    <mergeCell ref="C155:D155"/>
    <mergeCell ref="C146:D146"/>
    <mergeCell ref="C147:D147"/>
    <mergeCell ref="C148:D148"/>
    <mergeCell ref="C149:D149"/>
    <mergeCell ref="C150:D150"/>
    <mergeCell ref="C141:D141"/>
    <mergeCell ref="C142:D142"/>
    <mergeCell ref="C143:D143"/>
    <mergeCell ref="C144:D144"/>
    <mergeCell ref="C145:D145"/>
    <mergeCell ref="C136:D136"/>
    <mergeCell ref="C137:D137"/>
    <mergeCell ref="C138:D138"/>
    <mergeCell ref="C139:D139"/>
    <mergeCell ref="C140:D140"/>
    <mergeCell ref="C131:D131"/>
    <mergeCell ref="C132:D132"/>
    <mergeCell ref="C133:D133"/>
    <mergeCell ref="C134:D134"/>
    <mergeCell ref="C135:D135"/>
    <mergeCell ref="C126:D126"/>
    <mergeCell ref="C127:D127"/>
    <mergeCell ref="C128:D128"/>
    <mergeCell ref="C129:D129"/>
    <mergeCell ref="C130:D130"/>
    <mergeCell ref="C121:D121"/>
    <mergeCell ref="C122:D122"/>
    <mergeCell ref="C123:D123"/>
    <mergeCell ref="C124:D124"/>
    <mergeCell ref="C125:D125"/>
    <mergeCell ref="C116:D116"/>
    <mergeCell ref="C117:D117"/>
    <mergeCell ref="C118:D118"/>
    <mergeCell ref="C119:D119"/>
    <mergeCell ref="C120:D120"/>
    <mergeCell ref="C111:D111"/>
    <mergeCell ref="C112:D112"/>
    <mergeCell ref="C113:D113"/>
    <mergeCell ref="C114:D114"/>
    <mergeCell ref="C115:D115"/>
    <mergeCell ref="C106:D106"/>
    <mergeCell ref="C107:D107"/>
    <mergeCell ref="C108:D108"/>
    <mergeCell ref="C109:D109"/>
    <mergeCell ref="C110:D110"/>
    <mergeCell ref="C101:D101"/>
    <mergeCell ref="C102:D102"/>
    <mergeCell ref="C103:D103"/>
    <mergeCell ref="C104:D104"/>
    <mergeCell ref="C105:D105"/>
    <mergeCell ref="C96:D96"/>
    <mergeCell ref="C97:D97"/>
    <mergeCell ref="C98:D98"/>
    <mergeCell ref="C99:D99"/>
    <mergeCell ref="C100:D100"/>
    <mergeCell ref="C91:D91"/>
    <mergeCell ref="C92:D92"/>
    <mergeCell ref="C93:D93"/>
    <mergeCell ref="C94:D94"/>
    <mergeCell ref="C95:D95"/>
    <mergeCell ref="C86:D86"/>
    <mergeCell ref="C87:D87"/>
    <mergeCell ref="C88:D88"/>
    <mergeCell ref="C89:D89"/>
    <mergeCell ref="C90:D90"/>
    <mergeCell ref="C81:D81"/>
    <mergeCell ref="C82:D82"/>
    <mergeCell ref="C83:D83"/>
    <mergeCell ref="C84:D84"/>
    <mergeCell ref="C85:D85"/>
    <mergeCell ref="C76:D76"/>
    <mergeCell ref="C77:D77"/>
    <mergeCell ref="C78:D78"/>
    <mergeCell ref="C79:D79"/>
    <mergeCell ref="C80:D80"/>
    <mergeCell ref="C71:D71"/>
    <mergeCell ref="C72:D72"/>
    <mergeCell ref="C73:D73"/>
    <mergeCell ref="C74:D74"/>
    <mergeCell ref="C75:D75"/>
    <mergeCell ref="C66:D66"/>
    <mergeCell ref="C67:D67"/>
    <mergeCell ref="C68:D68"/>
    <mergeCell ref="C69:D69"/>
    <mergeCell ref="C70:D70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8:D28"/>
    <mergeCell ref="C29:D29"/>
    <mergeCell ref="C30:D30"/>
    <mergeCell ref="C21:D21"/>
    <mergeCell ref="C22:D22"/>
    <mergeCell ref="C23:D23"/>
    <mergeCell ref="C24:D24"/>
    <mergeCell ref="C25:D25"/>
    <mergeCell ref="C36:D36"/>
    <mergeCell ref="C19:D19"/>
    <mergeCell ref="C20:D20"/>
    <mergeCell ref="C11:D11"/>
    <mergeCell ref="C12:D12"/>
    <mergeCell ref="C13:D13"/>
    <mergeCell ref="C14:D14"/>
    <mergeCell ref="C15:D15"/>
    <mergeCell ref="C26:D26"/>
    <mergeCell ref="C27:D27"/>
    <mergeCell ref="C10:D10"/>
    <mergeCell ref="C8:D9"/>
    <mergeCell ref="G2:G3"/>
    <mergeCell ref="G4:G5"/>
    <mergeCell ref="G6:G7"/>
    <mergeCell ref="G8:G9"/>
    <mergeCell ref="C16:D16"/>
    <mergeCell ref="C17:D17"/>
    <mergeCell ref="C18:D18"/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J3"/>
    <mergeCell ref="I4:J5"/>
    <mergeCell ref="I6:J7"/>
    <mergeCell ref="I8:J9"/>
  </mergeCells>
  <pageMargins left="0.39370078740157483" right="0.39370078740157483" top="0.59055118110236227" bottom="0.59055118110236227" header="0" footer="0"/>
  <pageSetup scale="73" fitToHeight="0" orientation="landscape" r:id="rId1"/>
  <headerFooter>
    <oddHeader>&amp;CREKONSTRUKCE KUCHYNĚ -  ZŠ ZÁRUBOVA</oddHeader>
    <oddFooter>Stránka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98"/>
  <sheetViews>
    <sheetView topLeftCell="A242" zoomScale="59" zoomScaleNormal="59" workbookViewId="0">
      <selection activeCell="J248" sqref="J248"/>
    </sheetView>
  </sheetViews>
  <sheetFormatPr defaultColWidth="12.08984375" defaultRowHeight="15" customHeight="1" x14ac:dyDescent="0.35"/>
  <cols>
    <col min="1" max="2" width="9.08984375" customWidth="1"/>
    <col min="3" max="3" width="14.36328125" customWidth="1"/>
    <col min="4" max="4" width="93.36328125" customWidth="1"/>
    <col min="5" max="5" width="12.81640625" customWidth="1"/>
    <col min="6" max="6" width="8.90625" customWidth="1"/>
    <col min="7" max="7" width="15.6328125" customWidth="1"/>
    <col min="8" max="8" width="20" customWidth="1"/>
  </cols>
  <sheetData>
    <row r="1" spans="1:8" ht="54.75" customHeight="1" x14ac:dyDescent="0.35">
      <c r="A1" s="84" t="s">
        <v>1444</v>
      </c>
      <c r="B1" s="84"/>
      <c r="C1" s="84"/>
      <c r="D1" s="84"/>
      <c r="E1" s="84"/>
      <c r="F1" s="84"/>
      <c r="G1" s="84"/>
      <c r="H1" s="84"/>
    </row>
    <row r="2" spans="1:8" ht="14.5" x14ac:dyDescent="0.35">
      <c r="A2" s="85" t="s">
        <v>1</v>
      </c>
      <c r="B2" s="86"/>
      <c r="C2" s="95" t="str">
        <f>'Stavební rozpočet'!C2</f>
        <v>REKONSTRUKCE KUCHYNĚ -  ZŠ ZÁRUBOVA</v>
      </c>
      <c r="D2" s="96"/>
      <c r="E2" s="90" t="s">
        <v>2</v>
      </c>
      <c r="F2" s="90" t="str">
        <f>'Stavební rozpočet'!I2</f>
        <v>Městská část Praha 12,Generála Šišky 2375/6, Praha</v>
      </c>
      <c r="G2" s="86"/>
      <c r="H2" s="92"/>
    </row>
    <row r="3" spans="1:8" ht="15" customHeight="1" x14ac:dyDescent="0.35">
      <c r="A3" s="87"/>
      <c r="B3" s="88"/>
      <c r="C3" s="97"/>
      <c r="D3" s="97"/>
      <c r="E3" s="88"/>
      <c r="F3" s="88"/>
      <c r="G3" s="88"/>
      <c r="H3" s="93"/>
    </row>
    <row r="4" spans="1:8" ht="14.5" x14ac:dyDescent="0.35">
      <c r="A4" s="89" t="s">
        <v>5</v>
      </c>
      <c r="B4" s="88"/>
      <c r="C4" s="91" t="str">
        <f>'Stavební rozpočet'!C4</f>
        <v>Oprava a rekonstrukce</v>
      </c>
      <c r="D4" s="88"/>
      <c r="E4" s="91" t="s">
        <v>6</v>
      </c>
      <c r="F4" s="91" t="str">
        <f>'Stavební rozpočet'!I4</f>
        <v>MIKRO PRAHA spol s.r.</v>
      </c>
      <c r="G4" s="88"/>
      <c r="H4" s="93"/>
    </row>
    <row r="5" spans="1:8" ht="15" customHeight="1" x14ac:dyDescent="0.35">
      <c r="A5" s="87"/>
      <c r="B5" s="88"/>
      <c r="C5" s="88"/>
      <c r="D5" s="88"/>
      <c r="E5" s="88"/>
      <c r="F5" s="88"/>
      <c r="G5" s="88"/>
      <c r="H5" s="93"/>
    </row>
    <row r="6" spans="1:8" ht="14.5" x14ac:dyDescent="0.35">
      <c r="A6" s="89" t="s">
        <v>8</v>
      </c>
      <c r="B6" s="88"/>
      <c r="C6" s="91" t="str">
        <f>'Stavební rozpočet'!C6</f>
        <v>ZÁRUBOVA 977/17, K.Ú. KAMÝK, PRAHA 12</v>
      </c>
      <c r="D6" s="88"/>
      <c r="E6" s="91" t="s">
        <v>9</v>
      </c>
      <c r="F6" s="91" t="str">
        <f>'Stavební rozpočet'!I6</f>
        <v>0</v>
      </c>
      <c r="G6" s="88"/>
      <c r="H6" s="93"/>
    </row>
    <row r="7" spans="1:8" ht="15" customHeight="1" x14ac:dyDescent="0.35">
      <c r="A7" s="87"/>
      <c r="B7" s="88"/>
      <c r="C7" s="88"/>
      <c r="D7" s="88"/>
      <c r="E7" s="88"/>
      <c r="F7" s="88"/>
      <c r="G7" s="88"/>
      <c r="H7" s="93"/>
    </row>
    <row r="8" spans="1:8" ht="14.5" x14ac:dyDescent="0.35">
      <c r="A8" s="89" t="s">
        <v>15</v>
      </c>
      <c r="B8" s="88"/>
      <c r="C8" s="91">
        <f>'Stavební rozpočet'!I8</f>
        <v>0</v>
      </c>
      <c r="D8" s="88"/>
      <c r="E8" s="91" t="s">
        <v>80</v>
      </c>
      <c r="F8" s="91" t="str">
        <f>'Stavební rozpočet'!G8</f>
        <v>14,05,2025</v>
      </c>
      <c r="G8" s="88"/>
      <c r="H8" s="93"/>
    </row>
    <row r="9" spans="1:8" ht="14.5" x14ac:dyDescent="0.35">
      <c r="A9" s="154"/>
      <c r="B9" s="155"/>
      <c r="C9" s="155"/>
      <c r="D9" s="155"/>
      <c r="E9" s="155"/>
      <c r="F9" s="155"/>
      <c r="G9" s="155"/>
      <c r="H9" s="176"/>
    </row>
    <row r="10" spans="1:8" ht="14.5" x14ac:dyDescent="0.35">
      <c r="A10" s="60" t="s">
        <v>81</v>
      </c>
      <c r="B10" s="61" t="s">
        <v>1445</v>
      </c>
      <c r="C10" s="61" t="s">
        <v>82</v>
      </c>
      <c r="D10" s="177" t="s">
        <v>83</v>
      </c>
      <c r="E10" s="178"/>
      <c r="F10" s="61" t="s">
        <v>84</v>
      </c>
      <c r="G10" s="62" t="s">
        <v>85</v>
      </c>
      <c r="H10" s="63" t="s">
        <v>1446</v>
      </c>
    </row>
    <row r="11" spans="1:8" ht="14.5" x14ac:dyDescent="0.35">
      <c r="A11" s="64" t="s">
        <v>10</v>
      </c>
      <c r="B11" s="65" t="s">
        <v>10</v>
      </c>
      <c r="C11" s="65" t="s">
        <v>108</v>
      </c>
      <c r="D11" s="179" t="s">
        <v>109</v>
      </c>
      <c r="E11" s="179"/>
      <c r="F11" s="65" t="s">
        <v>10</v>
      </c>
      <c r="G11" s="66" t="s">
        <v>10</v>
      </c>
      <c r="H11" s="67" t="s">
        <v>10</v>
      </c>
    </row>
    <row r="12" spans="1:8" ht="14.5" x14ac:dyDescent="0.35">
      <c r="A12" s="1" t="s">
        <v>110</v>
      </c>
      <c r="B12" s="2" t="s">
        <v>10</v>
      </c>
      <c r="C12" s="2" t="s">
        <v>111</v>
      </c>
      <c r="D12" s="88" t="s">
        <v>112</v>
      </c>
      <c r="E12" s="88"/>
      <c r="F12" s="2" t="s">
        <v>113</v>
      </c>
      <c r="G12" s="53">
        <v>26</v>
      </c>
      <c r="H12" s="68">
        <v>0</v>
      </c>
    </row>
    <row r="13" spans="1:8" ht="14.5" x14ac:dyDescent="0.35">
      <c r="A13" s="69"/>
      <c r="D13" s="70" t="s">
        <v>1447</v>
      </c>
      <c r="E13" s="180" t="s">
        <v>10</v>
      </c>
      <c r="F13" s="180"/>
      <c r="G13" s="71">
        <v>18</v>
      </c>
      <c r="H13" s="49"/>
    </row>
    <row r="14" spans="1:8" ht="14.5" x14ac:dyDescent="0.35">
      <c r="A14" s="1" t="s">
        <v>10</v>
      </c>
      <c r="B14" s="2" t="s">
        <v>10</v>
      </c>
      <c r="C14" s="2" t="s">
        <v>10</v>
      </c>
      <c r="D14" s="70" t="s">
        <v>1448</v>
      </c>
      <c r="E14" s="180" t="s">
        <v>10</v>
      </c>
      <c r="F14" s="180"/>
      <c r="G14" s="71">
        <v>0</v>
      </c>
      <c r="H14" s="72" t="s">
        <v>10</v>
      </c>
    </row>
    <row r="15" spans="1:8" ht="14.5" x14ac:dyDescent="0.35">
      <c r="A15" s="1" t="s">
        <v>10</v>
      </c>
      <c r="B15" s="2" t="s">
        <v>10</v>
      </c>
      <c r="C15" s="2" t="s">
        <v>10</v>
      </c>
      <c r="D15" s="70" t="s">
        <v>140</v>
      </c>
      <c r="E15" s="180" t="s">
        <v>10</v>
      </c>
      <c r="F15" s="180"/>
      <c r="G15" s="71">
        <v>8</v>
      </c>
      <c r="H15" s="72" t="s">
        <v>10</v>
      </c>
    </row>
    <row r="16" spans="1:8" ht="14.5" x14ac:dyDescent="0.35">
      <c r="A16" s="1" t="s">
        <v>118</v>
      </c>
      <c r="B16" s="2" t="s">
        <v>10</v>
      </c>
      <c r="C16" s="2" t="s">
        <v>119</v>
      </c>
      <c r="D16" s="181" t="s">
        <v>148</v>
      </c>
      <c r="E16" s="181" t="s">
        <v>1449</v>
      </c>
      <c r="F16" s="181"/>
      <c r="G16" s="71">
        <v>10</v>
      </c>
      <c r="H16" s="68">
        <v>0</v>
      </c>
    </row>
    <row r="17" spans="1:8" ht="14.5" x14ac:dyDescent="0.35">
      <c r="A17" s="1" t="s">
        <v>122</v>
      </c>
      <c r="B17" s="2" t="s">
        <v>10</v>
      </c>
      <c r="C17" s="2" t="s">
        <v>123</v>
      </c>
      <c r="D17" s="181" t="s">
        <v>148</v>
      </c>
      <c r="E17" s="181" t="s">
        <v>1449</v>
      </c>
      <c r="F17" s="181"/>
      <c r="G17" s="71">
        <v>10</v>
      </c>
      <c r="H17" s="68">
        <v>0</v>
      </c>
    </row>
    <row r="18" spans="1:8" ht="14.5" x14ac:dyDescent="0.35">
      <c r="A18" s="1" t="s">
        <v>125</v>
      </c>
      <c r="B18" s="2" t="s">
        <v>10</v>
      </c>
      <c r="C18" s="2" t="s">
        <v>126</v>
      </c>
      <c r="D18" s="181" t="s">
        <v>1450</v>
      </c>
      <c r="E18" s="181" t="s">
        <v>10</v>
      </c>
      <c r="F18" s="181"/>
      <c r="G18" s="71">
        <v>14.4</v>
      </c>
      <c r="H18" s="68">
        <v>0</v>
      </c>
    </row>
    <row r="19" spans="1:8" ht="14.5" x14ac:dyDescent="0.35">
      <c r="A19" s="1" t="s">
        <v>128</v>
      </c>
      <c r="B19" s="2" t="s">
        <v>10</v>
      </c>
      <c r="C19" s="2" t="s">
        <v>129</v>
      </c>
      <c r="D19" s="181" t="s">
        <v>1450</v>
      </c>
      <c r="E19" s="181" t="s">
        <v>10</v>
      </c>
      <c r="F19" s="181"/>
      <c r="G19" s="71">
        <v>14.4</v>
      </c>
      <c r="H19" s="68">
        <v>0</v>
      </c>
    </row>
    <row r="20" spans="1:8" ht="14.5" x14ac:dyDescent="0.35">
      <c r="A20" s="1" t="s">
        <v>131</v>
      </c>
      <c r="B20" s="2" t="s">
        <v>10</v>
      </c>
      <c r="C20" s="2" t="s">
        <v>132</v>
      </c>
      <c r="D20" s="181" t="s">
        <v>1450</v>
      </c>
      <c r="E20" s="181" t="s">
        <v>10</v>
      </c>
      <c r="F20" s="181"/>
      <c r="G20" s="71">
        <v>14.4</v>
      </c>
      <c r="H20" s="68">
        <v>0</v>
      </c>
    </row>
    <row r="21" spans="1:8" ht="14.5" x14ac:dyDescent="0.35">
      <c r="A21" s="1" t="s">
        <v>134</v>
      </c>
      <c r="B21" s="2" t="s">
        <v>10</v>
      </c>
      <c r="C21" s="2" t="s">
        <v>135</v>
      </c>
      <c r="D21" s="181" t="s">
        <v>1451</v>
      </c>
      <c r="E21" s="181" t="s">
        <v>10</v>
      </c>
      <c r="F21" s="181"/>
      <c r="G21" s="71">
        <v>18</v>
      </c>
      <c r="H21" s="68">
        <v>0</v>
      </c>
    </row>
    <row r="22" spans="1:8" ht="14.5" x14ac:dyDescent="0.35">
      <c r="A22" s="73" t="s">
        <v>10</v>
      </c>
      <c r="B22" s="51" t="s">
        <v>10</v>
      </c>
      <c r="C22" s="51" t="s">
        <v>138</v>
      </c>
      <c r="D22" s="173" t="s">
        <v>139</v>
      </c>
      <c r="E22" s="173"/>
      <c r="F22" s="51" t="s">
        <v>10</v>
      </c>
      <c r="G22" s="36" t="s">
        <v>10</v>
      </c>
      <c r="H22" s="74" t="s">
        <v>10</v>
      </c>
    </row>
    <row r="23" spans="1:8" ht="14.5" x14ac:dyDescent="0.35">
      <c r="A23" s="1" t="s">
        <v>140</v>
      </c>
      <c r="B23" s="2" t="s">
        <v>10</v>
      </c>
      <c r="C23" s="2" t="s">
        <v>141</v>
      </c>
      <c r="D23" s="88" t="s">
        <v>142</v>
      </c>
      <c r="E23" s="88"/>
      <c r="F23" s="2" t="s">
        <v>143</v>
      </c>
      <c r="G23" s="53">
        <v>42.33</v>
      </c>
      <c r="H23" s="68">
        <v>0</v>
      </c>
    </row>
    <row r="24" spans="1:8" ht="14.5" x14ac:dyDescent="0.35">
      <c r="A24" s="69"/>
      <c r="D24" s="70" t="s">
        <v>1452</v>
      </c>
      <c r="E24" s="180" t="s">
        <v>1453</v>
      </c>
      <c r="F24" s="180"/>
      <c r="G24" s="71">
        <v>16.64</v>
      </c>
      <c r="H24" s="49"/>
    </row>
    <row r="25" spans="1:8" ht="14.5" x14ac:dyDescent="0.35">
      <c r="A25" s="1" t="s">
        <v>10</v>
      </c>
      <c r="B25" s="2" t="s">
        <v>10</v>
      </c>
      <c r="C25" s="2" t="s">
        <v>10</v>
      </c>
      <c r="D25" s="70" t="s">
        <v>1454</v>
      </c>
      <c r="E25" s="180" t="s">
        <v>1455</v>
      </c>
      <c r="F25" s="180"/>
      <c r="G25" s="71">
        <v>24.19</v>
      </c>
      <c r="H25" s="72" t="s">
        <v>10</v>
      </c>
    </row>
    <row r="26" spans="1:8" ht="14.5" x14ac:dyDescent="0.35">
      <c r="A26" s="1" t="s">
        <v>10</v>
      </c>
      <c r="B26" s="2" t="s">
        <v>10</v>
      </c>
      <c r="C26" s="2" t="s">
        <v>10</v>
      </c>
      <c r="D26" s="70" t="s">
        <v>1456</v>
      </c>
      <c r="E26" s="180" t="s">
        <v>10</v>
      </c>
      <c r="F26" s="180"/>
      <c r="G26" s="71">
        <v>1.5</v>
      </c>
      <c r="H26" s="72" t="s">
        <v>10</v>
      </c>
    </row>
    <row r="27" spans="1:8" ht="14.5" x14ac:dyDescent="0.35">
      <c r="A27" s="1" t="s">
        <v>145</v>
      </c>
      <c r="B27" s="2" t="s">
        <v>10</v>
      </c>
      <c r="C27" s="2" t="s">
        <v>146</v>
      </c>
      <c r="D27" s="88" t="s">
        <v>147</v>
      </c>
      <c r="E27" s="88"/>
      <c r="F27" s="2" t="s">
        <v>143</v>
      </c>
      <c r="G27" s="53">
        <v>17.2</v>
      </c>
      <c r="H27" s="68">
        <v>0</v>
      </c>
    </row>
    <row r="28" spans="1:8" ht="14.5" x14ac:dyDescent="0.35">
      <c r="A28" s="69"/>
      <c r="D28" s="70" t="s">
        <v>1457</v>
      </c>
      <c r="E28" s="180" t="s">
        <v>10</v>
      </c>
      <c r="F28" s="180"/>
      <c r="G28" s="71">
        <v>8.1999999999999993</v>
      </c>
      <c r="H28" s="49"/>
    </row>
    <row r="29" spans="1:8" ht="14.5" x14ac:dyDescent="0.35">
      <c r="A29" s="1" t="s">
        <v>10</v>
      </c>
      <c r="B29" s="2" t="s">
        <v>10</v>
      </c>
      <c r="C29" s="2" t="s">
        <v>10</v>
      </c>
      <c r="D29" s="70" t="s">
        <v>145</v>
      </c>
      <c r="E29" s="180" t="s">
        <v>10</v>
      </c>
      <c r="F29" s="180"/>
      <c r="G29" s="71">
        <v>9</v>
      </c>
      <c r="H29" s="72" t="s">
        <v>10</v>
      </c>
    </row>
    <row r="30" spans="1:8" ht="14.5" x14ac:dyDescent="0.35">
      <c r="A30" s="1" t="s">
        <v>148</v>
      </c>
      <c r="B30" s="2" t="s">
        <v>10</v>
      </c>
      <c r="C30" s="2" t="s">
        <v>149</v>
      </c>
      <c r="D30" s="88" t="s">
        <v>150</v>
      </c>
      <c r="E30" s="88"/>
      <c r="F30" s="2" t="s">
        <v>143</v>
      </c>
      <c r="G30" s="53">
        <v>69.34</v>
      </c>
      <c r="H30" s="68">
        <v>0</v>
      </c>
    </row>
    <row r="31" spans="1:8" ht="14.5" x14ac:dyDescent="0.35">
      <c r="A31" s="69"/>
      <c r="D31" s="70" t="s">
        <v>1458</v>
      </c>
      <c r="E31" s="180" t="s">
        <v>10</v>
      </c>
      <c r="F31" s="180"/>
      <c r="G31" s="71">
        <v>16.399999999999999</v>
      </c>
      <c r="H31" s="49"/>
    </row>
    <row r="32" spans="1:8" ht="14.5" x14ac:dyDescent="0.35">
      <c r="A32" s="1" t="s">
        <v>10</v>
      </c>
      <c r="B32" s="2" t="s">
        <v>10</v>
      </c>
      <c r="C32" s="2" t="s">
        <v>10</v>
      </c>
      <c r="D32" s="70" t="s">
        <v>1459</v>
      </c>
      <c r="E32" s="180" t="s">
        <v>10</v>
      </c>
      <c r="F32" s="180"/>
      <c r="G32" s="71">
        <v>18.38</v>
      </c>
      <c r="H32" s="72" t="s">
        <v>10</v>
      </c>
    </row>
    <row r="33" spans="1:8" ht="14.5" x14ac:dyDescent="0.35">
      <c r="A33" s="1" t="s">
        <v>10</v>
      </c>
      <c r="B33" s="2" t="s">
        <v>10</v>
      </c>
      <c r="C33" s="2" t="s">
        <v>10</v>
      </c>
      <c r="D33" s="70" t="s">
        <v>1460</v>
      </c>
      <c r="E33" s="180" t="s">
        <v>1461</v>
      </c>
      <c r="F33" s="180"/>
      <c r="G33" s="71">
        <v>34.56</v>
      </c>
      <c r="H33" s="72" t="s">
        <v>10</v>
      </c>
    </row>
    <row r="34" spans="1:8" ht="14.5" x14ac:dyDescent="0.35">
      <c r="A34" s="1" t="s">
        <v>108</v>
      </c>
      <c r="B34" s="2" t="s">
        <v>10</v>
      </c>
      <c r="C34" s="2" t="s">
        <v>151</v>
      </c>
      <c r="D34" s="88" t="s">
        <v>152</v>
      </c>
      <c r="E34" s="88"/>
      <c r="F34" s="2" t="s">
        <v>143</v>
      </c>
      <c r="G34" s="53">
        <v>34.78</v>
      </c>
      <c r="H34" s="68">
        <v>0</v>
      </c>
    </row>
    <row r="35" spans="1:8" ht="14.5" x14ac:dyDescent="0.35">
      <c r="A35" s="69"/>
      <c r="D35" s="70" t="s">
        <v>1458</v>
      </c>
      <c r="E35" s="180" t="s">
        <v>10</v>
      </c>
      <c r="F35" s="180"/>
      <c r="G35" s="71">
        <v>16.399999999999999</v>
      </c>
      <c r="H35" s="49"/>
    </row>
    <row r="36" spans="1:8" ht="14.5" x14ac:dyDescent="0.35">
      <c r="A36" s="1" t="s">
        <v>10</v>
      </c>
      <c r="B36" s="2" t="s">
        <v>10</v>
      </c>
      <c r="C36" s="2" t="s">
        <v>10</v>
      </c>
      <c r="D36" s="70" t="s">
        <v>1459</v>
      </c>
      <c r="E36" s="180" t="s">
        <v>10</v>
      </c>
      <c r="F36" s="180"/>
      <c r="G36" s="71">
        <v>18.38</v>
      </c>
      <c r="H36" s="72" t="s">
        <v>10</v>
      </c>
    </row>
    <row r="37" spans="1:8" ht="14.5" x14ac:dyDescent="0.35">
      <c r="A37" s="1" t="s">
        <v>153</v>
      </c>
      <c r="B37" s="2" t="s">
        <v>10</v>
      </c>
      <c r="C37" s="2" t="s">
        <v>154</v>
      </c>
      <c r="D37" s="181" t="s">
        <v>1462</v>
      </c>
      <c r="E37" s="181" t="s">
        <v>10</v>
      </c>
      <c r="F37" s="181"/>
      <c r="G37" s="71">
        <v>7.74</v>
      </c>
      <c r="H37" s="68">
        <v>0</v>
      </c>
    </row>
    <row r="38" spans="1:8" ht="14.5" x14ac:dyDescent="0.35">
      <c r="A38" s="1" t="s">
        <v>138</v>
      </c>
      <c r="B38" s="2" t="s">
        <v>10</v>
      </c>
      <c r="C38" s="2" t="s">
        <v>156</v>
      </c>
      <c r="D38" s="181" t="s">
        <v>1463</v>
      </c>
      <c r="E38" s="181" t="s">
        <v>1464</v>
      </c>
      <c r="F38" s="181"/>
      <c r="G38" s="71">
        <v>0.65</v>
      </c>
      <c r="H38" s="68">
        <v>0</v>
      </c>
    </row>
    <row r="39" spans="1:8" ht="14.5" x14ac:dyDescent="0.35">
      <c r="A39" s="1" t="s">
        <v>158</v>
      </c>
      <c r="B39" s="2" t="s">
        <v>10</v>
      </c>
      <c r="C39" s="2" t="s">
        <v>159</v>
      </c>
      <c r="D39" s="181" t="s">
        <v>1460</v>
      </c>
      <c r="E39" s="181" t="s">
        <v>10</v>
      </c>
      <c r="F39" s="181"/>
      <c r="G39" s="71">
        <v>34.56</v>
      </c>
      <c r="H39" s="68">
        <v>0</v>
      </c>
    </row>
    <row r="40" spans="1:8" ht="14.5" x14ac:dyDescent="0.35">
      <c r="A40" s="73" t="s">
        <v>10</v>
      </c>
      <c r="B40" s="51" t="s">
        <v>10</v>
      </c>
      <c r="C40" s="51" t="s">
        <v>161</v>
      </c>
      <c r="D40" s="173" t="s">
        <v>162</v>
      </c>
      <c r="E40" s="173"/>
      <c r="F40" s="51" t="s">
        <v>10</v>
      </c>
      <c r="G40" s="36" t="s">
        <v>10</v>
      </c>
      <c r="H40" s="74" t="s">
        <v>10</v>
      </c>
    </row>
    <row r="41" spans="1:8" ht="14.5" x14ac:dyDescent="0.35">
      <c r="A41" s="1" t="s">
        <v>161</v>
      </c>
      <c r="B41" s="2" t="s">
        <v>10</v>
      </c>
      <c r="C41" s="2" t="s">
        <v>163</v>
      </c>
      <c r="D41" s="181" t="s">
        <v>1465</v>
      </c>
      <c r="E41" s="181" t="s">
        <v>10</v>
      </c>
      <c r="F41" s="181"/>
      <c r="G41" s="71">
        <v>23.4</v>
      </c>
      <c r="H41" s="68">
        <v>0</v>
      </c>
    </row>
    <row r="42" spans="1:8" ht="14.5" x14ac:dyDescent="0.35">
      <c r="A42" s="1" t="s">
        <v>166</v>
      </c>
      <c r="B42" s="2" t="s">
        <v>10</v>
      </c>
      <c r="C42" s="2" t="s">
        <v>167</v>
      </c>
      <c r="D42" s="181" t="s">
        <v>1466</v>
      </c>
      <c r="E42" s="181" t="s">
        <v>10</v>
      </c>
      <c r="F42" s="181"/>
      <c r="G42" s="71">
        <v>23.4</v>
      </c>
      <c r="H42" s="68">
        <v>0</v>
      </c>
    </row>
    <row r="43" spans="1:8" ht="14.5" x14ac:dyDescent="0.35">
      <c r="A43" s="73" t="s">
        <v>10</v>
      </c>
      <c r="B43" s="51" t="s">
        <v>10</v>
      </c>
      <c r="C43" s="51" t="s">
        <v>166</v>
      </c>
      <c r="D43" s="173" t="s">
        <v>169</v>
      </c>
      <c r="E43" s="173"/>
      <c r="F43" s="51" t="s">
        <v>10</v>
      </c>
      <c r="G43" s="36" t="s">
        <v>10</v>
      </c>
      <c r="H43" s="74" t="s">
        <v>10</v>
      </c>
    </row>
    <row r="44" spans="1:8" ht="14.5" x14ac:dyDescent="0.35">
      <c r="A44" s="1" t="s">
        <v>170</v>
      </c>
      <c r="B44" s="2" t="s">
        <v>10</v>
      </c>
      <c r="C44" s="2" t="s">
        <v>171</v>
      </c>
      <c r="D44" s="181" t="s">
        <v>1467</v>
      </c>
      <c r="E44" s="181" t="s">
        <v>10</v>
      </c>
      <c r="F44" s="181"/>
      <c r="G44" s="71">
        <v>51.1</v>
      </c>
      <c r="H44" s="68">
        <v>0</v>
      </c>
    </row>
    <row r="45" spans="1:8" ht="14.5" x14ac:dyDescent="0.35">
      <c r="A45" s="1" t="s">
        <v>174</v>
      </c>
      <c r="B45" s="2" t="s">
        <v>10</v>
      </c>
      <c r="C45" s="2" t="s">
        <v>175</v>
      </c>
      <c r="D45" s="181" t="s">
        <v>1467</v>
      </c>
      <c r="E45" s="181" t="s">
        <v>10</v>
      </c>
      <c r="F45" s="181"/>
      <c r="G45" s="71">
        <v>51.1</v>
      </c>
      <c r="H45" s="68">
        <v>0</v>
      </c>
    </row>
    <row r="46" spans="1:8" ht="14.5" x14ac:dyDescent="0.35">
      <c r="A46" s="1" t="s">
        <v>177</v>
      </c>
      <c r="B46" s="2" t="s">
        <v>10</v>
      </c>
      <c r="C46" s="2" t="s">
        <v>178</v>
      </c>
      <c r="D46" s="181" t="s">
        <v>1468</v>
      </c>
      <c r="E46" s="181" t="s">
        <v>10</v>
      </c>
      <c r="F46" s="181"/>
      <c r="G46" s="71">
        <v>1277.5</v>
      </c>
      <c r="H46" s="68">
        <v>0</v>
      </c>
    </row>
    <row r="47" spans="1:8" ht="14.5" x14ac:dyDescent="0.35">
      <c r="A47" s="1" t="s">
        <v>180</v>
      </c>
      <c r="B47" s="2" t="s">
        <v>10</v>
      </c>
      <c r="C47" s="2" t="s">
        <v>181</v>
      </c>
      <c r="D47" s="181" t="s">
        <v>1469</v>
      </c>
      <c r="E47" s="181" t="s">
        <v>10</v>
      </c>
      <c r="F47" s="181"/>
      <c r="G47" s="71">
        <v>71.540000000000006</v>
      </c>
      <c r="H47" s="68">
        <v>0</v>
      </c>
    </row>
    <row r="48" spans="1:8" ht="14.5" x14ac:dyDescent="0.35">
      <c r="A48" s="1" t="s">
        <v>184</v>
      </c>
      <c r="B48" s="2" t="s">
        <v>10</v>
      </c>
      <c r="C48" s="2" t="s">
        <v>185</v>
      </c>
      <c r="D48" s="181" t="s">
        <v>148</v>
      </c>
      <c r="E48" s="181" t="s">
        <v>10</v>
      </c>
      <c r="F48" s="181"/>
      <c r="G48" s="71">
        <v>10</v>
      </c>
      <c r="H48" s="68">
        <v>0</v>
      </c>
    </row>
    <row r="49" spans="1:8" ht="14.5" x14ac:dyDescent="0.35">
      <c r="A49" s="1" t="s">
        <v>187</v>
      </c>
      <c r="B49" s="2" t="s">
        <v>10</v>
      </c>
      <c r="C49" s="2" t="s">
        <v>188</v>
      </c>
      <c r="D49" s="181" t="s">
        <v>148</v>
      </c>
      <c r="E49" s="181" t="s">
        <v>10</v>
      </c>
      <c r="F49" s="181"/>
      <c r="G49" s="71">
        <v>10</v>
      </c>
      <c r="H49" s="68">
        <v>0</v>
      </c>
    </row>
    <row r="50" spans="1:8" ht="14.5" x14ac:dyDescent="0.35">
      <c r="A50" s="73" t="s">
        <v>10</v>
      </c>
      <c r="B50" s="51" t="s">
        <v>10</v>
      </c>
      <c r="C50" s="51" t="s">
        <v>170</v>
      </c>
      <c r="D50" s="173" t="s">
        <v>190</v>
      </c>
      <c r="E50" s="173"/>
      <c r="F50" s="51" t="s">
        <v>10</v>
      </c>
      <c r="G50" s="36" t="s">
        <v>10</v>
      </c>
      <c r="H50" s="74" t="s">
        <v>10</v>
      </c>
    </row>
    <row r="51" spans="1:8" ht="14.5" x14ac:dyDescent="0.35">
      <c r="A51" s="1" t="s">
        <v>191</v>
      </c>
      <c r="B51" s="2" t="s">
        <v>10</v>
      </c>
      <c r="C51" s="2" t="s">
        <v>192</v>
      </c>
      <c r="D51" s="88" t="s">
        <v>193</v>
      </c>
      <c r="E51" s="88"/>
      <c r="F51" s="2" t="s">
        <v>143</v>
      </c>
      <c r="G51" s="53">
        <v>10.98</v>
      </c>
      <c r="H51" s="68">
        <v>0</v>
      </c>
    </row>
    <row r="52" spans="1:8" ht="14.5" x14ac:dyDescent="0.35">
      <c r="A52" s="69"/>
      <c r="D52" s="70" t="s">
        <v>1470</v>
      </c>
      <c r="E52" s="180" t="s">
        <v>10</v>
      </c>
      <c r="F52" s="180"/>
      <c r="G52" s="71">
        <v>8.64</v>
      </c>
      <c r="H52" s="49"/>
    </row>
    <row r="53" spans="1:8" ht="14.5" x14ac:dyDescent="0.35">
      <c r="A53" s="1" t="s">
        <v>10</v>
      </c>
      <c r="B53" s="2" t="s">
        <v>10</v>
      </c>
      <c r="C53" s="2" t="s">
        <v>10</v>
      </c>
      <c r="D53" s="70" t="s">
        <v>1471</v>
      </c>
      <c r="E53" s="180" t="s">
        <v>10</v>
      </c>
      <c r="F53" s="180"/>
      <c r="G53" s="71">
        <v>2.34</v>
      </c>
      <c r="H53" s="72" t="s">
        <v>10</v>
      </c>
    </row>
    <row r="54" spans="1:8" ht="14.5" x14ac:dyDescent="0.35">
      <c r="A54" s="1" t="s">
        <v>195</v>
      </c>
      <c r="B54" s="2" t="s">
        <v>10</v>
      </c>
      <c r="C54" s="2" t="s">
        <v>196</v>
      </c>
      <c r="D54" s="181" t="s">
        <v>161</v>
      </c>
      <c r="E54" s="181" t="s">
        <v>10</v>
      </c>
      <c r="F54" s="181"/>
      <c r="G54" s="71">
        <v>15</v>
      </c>
      <c r="H54" s="68">
        <v>0</v>
      </c>
    </row>
    <row r="55" spans="1:8" ht="14.5" x14ac:dyDescent="0.35">
      <c r="A55" s="1" t="s">
        <v>198</v>
      </c>
      <c r="B55" s="2" t="s">
        <v>10</v>
      </c>
      <c r="C55" s="2" t="s">
        <v>199</v>
      </c>
      <c r="D55" s="181" t="s">
        <v>131</v>
      </c>
      <c r="E55" s="181" t="s">
        <v>10</v>
      </c>
      <c r="F55" s="181"/>
      <c r="G55" s="71">
        <v>6</v>
      </c>
      <c r="H55" s="68">
        <v>0</v>
      </c>
    </row>
    <row r="56" spans="1:8" ht="14.5" x14ac:dyDescent="0.35">
      <c r="A56" s="1" t="s">
        <v>201</v>
      </c>
      <c r="B56" s="2" t="s">
        <v>10</v>
      </c>
      <c r="C56" s="2" t="s">
        <v>202</v>
      </c>
      <c r="D56" s="88" t="s">
        <v>203</v>
      </c>
      <c r="E56" s="88"/>
      <c r="F56" s="2" t="s">
        <v>143</v>
      </c>
      <c r="G56" s="53">
        <v>33.18</v>
      </c>
      <c r="H56" s="68">
        <v>0</v>
      </c>
    </row>
    <row r="57" spans="1:8" ht="14.5" x14ac:dyDescent="0.35">
      <c r="A57" s="69"/>
      <c r="D57" s="70" t="s">
        <v>1472</v>
      </c>
      <c r="E57" s="180" t="s">
        <v>10</v>
      </c>
      <c r="F57" s="180"/>
      <c r="G57" s="71">
        <v>23.04</v>
      </c>
      <c r="H57" s="49"/>
    </row>
    <row r="58" spans="1:8" ht="14.5" x14ac:dyDescent="0.35">
      <c r="A58" s="1" t="s">
        <v>10</v>
      </c>
      <c r="B58" s="2" t="s">
        <v>10</v>
      </c>
      <c r="C58" s="2" t="s">
        <v>10</v>
      </c>
      <c r="D58" s="70" t="s">
        <v>1473</v>
      </c>
      <c r="E58" s="180" t="s">
        <v>10</v>
      </c>
      <c r="F58" s="180"/>
      <c r="G58" s="71">
        <v>10.14</v>
      </c>
      <c r="H58" s="72" t="s">
        <v>10</v>
      </c>
    </row>
    <row r="59" spans="1:8" ht="14.5" x14ac:dyDescent="0.35">
      <c r="A59" s="73" t="s">
        <v>10</v>
      </c>
      <c r="B59" s="51" t="s">
        <v>10</v>
      </c>
      <c r="C59" s="51" t="s">
        <v>174</v>
      </c>
      <c r="D59" s="173" t="s">
        <v>204</v>
      </c>
      <c r="E59" s="173"/>
      <c r="F59" s="51" t="s">
        <v>10</v>
      </c>
      <c r="G59" s="36" t="s">
        <v>10</v>
      </c>
      <c r="H59" s="74" t="s">
        <v>10</v>
      </c>
    </row>
    <row r="60" spans="1:8" ht="14.5" x14ac:dyDescent="0.35">
      <c r="A60" s="1" t="s">
        <v>205</v>
      </c>
      <c r="B60" s="2" t="s">
        <v>10</v>
      </c>
      <c r="C60" s="2" t="s">
        <v>206</v>
      </c>
      <c r="D60" s="181" t="s">
        <v>180</v>
      </c>
      <c r="E60" s="181" t="s">
        <v>10</v>
      </c>
      <c r="F60" s="181"/>
      <c r="G60" s="71">
        <v>20</v>
      </c>
      <c r="H60" s="68">
        <v>0</v>
      </c>
    </row>
    <row r="61" spans="1:8" ht="14.5" x14ac:dyDescent="0.35">
      <c r="A61" s="1" t="s">
        <v>209</v>
      </c>
      <c r="B61" s="2" t="s">
        <v>10</v>
      </c>
      <c r="C61" s="2" t="s">
        <v>210</v>
      </c>
      <c r="D61" s="181" t="s">
        <v>216</v>
      </c>
      <c r="E61" s="181" t="s">
        <v>10</v>
      </c>
      <c r="F61" s="181"/>
      <c r="G61" s="71">
        <v>30</v>
      </c>
      <c r="H61" s="68">
        <v>0</v>
      </c>
    </row>
    <row r="62" spans="1:8" ht="14.5" x14ac:dyDescent="0.35">
      <c r="A62" s="1" t="s">
        <v>212</v>
      </c>
      <c r="B62" s="2" t="s">
        <v>10</v>
      </c>
      <c r="C62" s="2" t="s">
        <v>213</v>
      </c>
      <c r="D62" s="181" t="s">
        <v>128</v>
      </c>
      <c r="E62" s="181" t="s">
        <v>10</v>
      </c>
      <c r="F62" s="181"/>
      <c r="G62" s="71">
        <v>5</v>
      </c>
      <c r="H62" s="68">
        <v>0</v>
      </c>
    </row>
    <row r="63" spans="1:8" ht="14.5" x14ac:dyDescent="0.35">
      <c r="A63" s="73" t="s">
        <v>10</v>
      </c>
      <c r="B63" s="51" t="s">
        <v>10</v>
      </c>
      <c r="C63" s="51" t="s">
        <v>205</v>
      </c>
      <c r="D63" s="173" t="s">
        <v>215</v>
      </c>
      <c r="E63" s="173"/>
      <c r="F63" s="51" t="s">
        <v>10</v>
      </c>
      <c r="G63" s="36" t="s">
        <v>10</v>
      </c>
      <c r="H63" s="74" t="s">
        <v>10</v>
      </c>
    </row>
    <row r="64" spans="1:8" ht="14.5" x14ac:dyDescent="0.35">
      <c r="A64" s="1" t="s">
        <v>216</v>
      </c>
      <c r="B64" s="2" t="s">
        <v>10</v>
      </c>
      <c r="C64" s="2" t="s">
        <v>217</v>
      </c>
      <c r="D64" s="181" t="s">
        <v>1474</v>
      </c>
      <c r="E64" s="181" t="s">
        <v>1475</v>
      </c>
      <c r="F64" s="181"/>
      <c r="G64" s="71">
        <v>1.5</v>
      </c>
      <c r="H64" s="68">
        <v>0</v>
      </c>
    </row>
    <row r="65" spans="1:8" ht="14.5" x14ac:dyDescent="0.35">
      <c r="A65" s="73" t="s">
        <v>10</v>
      </c>
      <c r="B65" s="51" t="s">
        <v>10</v>
      </c>
      <c r="C65" s="51" t="s">
        <v>221</v>
      </c>
      <c r="D65" s="173" t="s">
        <v>222</v>
      </c>
      <c r="E65" s="173"/>
      <c r="F65" s="51" t="s">
        <v>10</v>
      </c>
      <c r="G65" s="36" t="s">
        <v>10</v>
      </c>
      <c r="H65" s="74" t="s">
        <v>10</v>
      </c>
    </row>
    <row r="66" spans="1:8" ht="14.5" x14ac:dyDescent="0.35">
      <c r="A66" s="1" t="s">
        <v>223</v>
      </c>
      <c r="B66" s="2" t="s">
        <v>10</v>
      </c>
      <c r="C66" s="2" t="s">
        <v>224</v>
      </c>
      <c r="D66" s="88" t="s">
        <v>225</v>
      </c>
      <c r="E66" s="88"/>
      <c r="F66" s="2" t="s">
        <v>113</v>
      </c>
      <c r="G66" s="53">
        <v>76.56</v>
      </c>
      <c r="H66" s="68">
        <v>0</v>
      </c>
    </row>
    <row r="67" spans="1:8" ht="14.5" x14ac:dyDescent="0.35">
      <c r="A67" s="69"/>
      <c r="D67" s="70" t="s">
        <v>1476</v>
      </c>
      <c r="E67" s="180" t="s">
        <v>1477</v>
      </c>
      <c r="F67" s="180"/>
      <c r="G67" s="71">
        <v>29.86</v>
      </c>
      <c r="H67" s="49"/>
    </row>
    <row r="68" spans="1:8" ht="14.5" x14ac:dyDescent="0.35">
      <c r="A68" s="1" t="s">
        <v>10</v>
      </c>
      <c r="B68" s="2" t="s">
        <v>10</v>
      </c>
      <c r="C68" s="2" t="s">
        <v>10</v>
      </c>
      <c r="D68" s="70" t="s">
        <v>1478</v>
      </c>
      <c r="E68" s="180" t="s">
        <v>1477</v>
      </c>
      <c r="F68" s="180"/>
      <c r="G68" s="71">
        <v>-4.2</v>
      </c>
      <c r="H68" s="72" t="s">
        <v>10</v>
      </c>
    </row>
    <row r="69" spans="1:8" ht="14.5" x14ac:dyDescent="0.35">
      <c r="A69" s="1" t="s">
        <v>10</v>
      </c>
      <c r="B69" s="2" t="s">
        <v>10</v>
      </c>
      <c r="C69" s="2" t="s">
        <v>10</v>
      </c>
      <c r="D69" s="70" t="s">
        <v>1479</v>
      </c>
      <c r="E69" s="180" t="s">
        <v>1477</v>
      </c>
      <c r="F69" s="180"/>
      <c r="G69" s="71">
        <v>11.98</v>
      </c>
      <c r="H69" s="72" t="s">
        <v>10</v>
      </c>
    </row>
    <row r="70" spans="1:8" ht="14.5" x14ac:dyDescent="0.35">
      <c r="A70" s="1" t="s">
        <v>10</v>
      </c>
      <c r="B70" s="2" t="s">
        <v>10</v>
      </c>
      <c r="C70" s="2" t="s">
        <v>10</v>
      </c>
      <c r="D70" s="70" t="s">
        <v>1480</v>
      </c>
      <c r="E70" s="180" t="s">
        <v>1477</v>
      </c>
      <c r="F70" s="180"/>
      <c r="G70" s="71">
        <v>5.66</v>
      </c>
      <c r="H70" s="72" t="s">
        <v>10</v>
      </c>
    </row>
    <row r="71" spans="1:8" ht="14.5" x14ac:dyDescent="0.35">
      <c r="A71" s="1" t="s">
        <v>10</v>
      </c>
      <c r="B71" s="2" t="s">
        <v>10</v>
      </c>
      <c r="C71" s="2" t="s">
        <v>10</v>
      </c>
      <c r="D71" s="70" t="s">
        <v>1481</v>
      </c>
      <c r="E71" s="180" t="s">
        <v>1482</v>
      </c>
      <c r="F71" s="180"/>
      <c r="G71" s="71">
        <v>7.42</v>
      </c>
      <c r="H71" s="72" t="s">
        <v>10</v>
      </c>
    </row>
    <row r="72" spans="1:8" ht="14.5" x14ac:dyDescent="0.35">
      <c r="A72" s="1" t="s">
        <v>10</v>
      </c>
      <c r="B72" s="2" t="s">
        <v>10</v>
      </c>
      <c r="C72" s="2" t="s">
        <v>10</v>
      </c>
      <c r="D72" s="70" t="s">
        <v>1483</v>
      </c>
      <c r="E72" s="180" t="s">
        <v>1484</v>
      </c>
      <c r="F72" s="180"/>
      <c r="G72" s="71">
        <v>25.84</v>
      </c>
      <c r="H72" s="72" t="s">
        <v>10</v>
      </c>
    </row>
    <row r="73" spans="1:8" ht="14.5" x14ac:dyDescent="0.35">
      <c r="A73" s="1" t="s">
        <v>228</v>
      </c>
      <c r="B73" s="2" t="s">
        <v>10</v>
      </c>
      <c r="C73" s="2" t="s">
        <v>229</v>
      </c>
      <c r="D73" s="181" t="s">
        <v>1485</v>
      </c>
      <c r="E73" s="181" t="s">
        <v>10</v>
      </c>
      <c r="F73" s="181"/>
      <c r="G73" s="71">
        <v>2.15</v>
      </c>
      <c r="H73" s="68">
        <v>0</v>
      </c>
    </row>
    <row r="74" spans="1:8" ht="14.5" x14ac:dyDescent="0.35">
      <c r="A74" s="1" t="s">
        <v>231</v>
      </c>
      <c r="B74" s="2" t="s">
        <v>10</v>
      </c>
      <c r="C74" s="2" t="s">
        <v>232</v>
      </c>
      <c r="D74" s="88" t="s">
        <v>233</v>
      </c>
      <c r="E74" s="88"/>
      <c r="F74" s="2" t="s">
        <v>113</v>
      </c>
      <c r="G74" s="53">
        <v>11</v>
      </c>
      <c r="H74" s="68">
        <v>0</v>
      </c>
    </row>
    <row r="75" spans="1:8" ht="14.5" x14ac:dyDescent="0.35">
      <c r="A75" s="69"/>
      <c r="D75" s="70" t="s">
        <v>1486</v>
      </c>
      <c r="E75" s="180" t="s">
        <v>10</v>
      </c>
      <c r="F75" s="180"/>
      <c r="G75" s="71">
        <v>10.75</v>
      </c>
      <c r="H75" s="49"/>
    </row>
    <row r="76" spans="1:8" ht="14.5" x14ac:dyDescent="0.35">
      <c r="A76" s="1" t="s">
        <v>10</v>
      </c>
      <c r="B76" s="2" t="s">
        <v>10</v>
      </c>
      <c r="C76" s="2" t="s">
        <v>10</v>
      </c>
      <c r="D76" s="70" t="s">
        <v>1487</v>
      </c>
      <c r="E76" s="180" t="s">
        <v>10</v>
      </c>
      <c r="F76" s="180"/>
      <c r="G76" s="71">
        <v>0.25</v>
      </c>
      <c r="H76" s="72" t="s">
        <v>10</v>
      </c>
    </row>
    <row r="77" spans="1:8" ht="14.5" x14ac:dyDescent="0.35">
      <c r="A77" s="1" t="s">
        <v>221</v>
      </c>
      <c r="B77" s="2" t="s">
        <v>10</v>
      </c>
      <c r="C77" s="2" t="s">
        <v>234</v>
      </c>
      <c r="D77" s="181" t="s">
        <v>1488</v>
      </c>
      <c r="E77" s="181" t="s">
        <v>10</v>
      </c>
      <c r="F77" s="181"/>
      <c r="G77" s="71">
        <v>0.03</v>
      </c>
      <c r="H77" s="68">
        <v>0</v>
      </c>
    </row>
    <row r="78" spans="1:8" ht="14.5" x14ac:dyDescent="0.35">
      <c r="A78" s="1" t="s">
        <v>236</v>
      </c>
      <c r="B78" s="2" t="s">
        <v>10</v>
      </c>
      <c r="C78" s="2" t="s">
        <v>237</v>
      </c>
      <c r="D78" s="181" t="s">
        <v>1489</v>
      </c>
      <c r="E78" s="181" t="s">
        <v>10</v>
      </c>
      <c r="F78" s="181"/>
      <c r="G78" s="71">
        <v>4.32</v>
      </c>
      <c r="H78" s="68">
        <v>0</v>
      </c>
    </row>
    <row r="79" spans="1:8" ht="14.5" x14ac:dyDescent="0.35">
      <c r="A79" s="1" t="s">
        <v>239</v>
      </c>
      <c r="B79" s="2" t="s">
        <v>10</v>
      </c>
      <c r="C79" s="2" t="s">
        <v>240</v>
      </c>
      <c r="D79" s="181" t="s">
        <v>108</v>
      </c>
      <c r="E79" s="181" t="s">
        <v>10</v>
      </c>
      <c r="F79" s="181"/>
      <c r="G79" s="71">
        <v>11</v>
      </c>
      <c r="H79" s="68">
        <v>0</v>
      </c>
    </row>
    <row r="80" spans="1:8" ht="14.5" x14ac:dyDescent="0.35">
      <c r="A80" s="73" t="s">
        <v>10</v>
      </c>
      <c r="B80" s="51" t="s">
        <v>10</v>
      </c>
      <c r="C80" s="51" t="s">
        <v>242</v>
      </c>
      <c r="D80" s="173" t="s">
        <v>243</v>
      </c>
      <c r="E80" s="173"/>
      <c r="F80" s="51" t="s">
        <v>10</v>
      </c>
      <c r="G80" s="36" t="s">
        <v>10</v>
      </c>
      <c r="H80" s="74" t="s">
        <v>10</v>
      </c>
    </row>
    <row r="81" spans="1:8" ht="14.5" x14ac:dyDescent="0.35">
      <c r="A81" s="1" t="s">
        <v>244</v>
      </c>
      <c r="B81" s="2" t="s">
        <v>10</v>
      </c>
      <c r="C81" s="2" t="s">
        <v>245</v>
      </c>
      <c r="D81" s="88" t="s">
        <v>246</v>
      </c>
      <c r="E81" s="88"/>
      <c r="F81" s="2" t="s">
        <v>113</v>
      </c>
      <c r="G81" s="53">
        <v>24</v>
      </c>
      <c r="H81" s="68">
        <v>0</v>
      </c>
    </row>
    <row r="82" spans="1:8" ht="14.5" x14ac:dyDescent="0.35">
      <c r="A82" s="69"/>
      <c r="D82" s="70" t="s">
        <v>1490</v>
      </c>
      <c r="E82" s="180" t="s">
        <v>10</v>
      </c>
      <c r="F82" s="180"/>
      <c r="G82" s="71">
        <v>16</v>
      </c>
      <c r="H82" s="49"/>
    </row>
    <row r="83" spans="1:8" ht="14.5" x14ac:dyDescent="0.35">
      <c r="A83" s="1" t="s">
        <v>10</v>
      </c>
      <c r="B83" s="2" t="s">
        <v>10</v>
      </c>
      <c r="C83" s="2" t="s">
        <v>10</v>
      </c>
      <c r="D83" s="70" t="s">
        <v>140</v>
      </c>
      <c r="E83" s="180" t="s">
        <v>10</v>
      </c>
      <c r="F83" s="180"/>
      <c r="G83" s="71">
        <v>8</v>
      </c>
      <c r="H83" s="72" t="s">
        <v>10</v>
      </c>
    </row>
    <row r="84" spans="1:8" ht="14.5" x14ac:dyDescent="0.35">
      <c r="A84" s="1" t="s">
        <v>249</v>
      </c>
      <c r="B84" s="2" t="s">
        <v>10</v>
      </c>
      <c r="C84" s="2" t="s">
        <v>250</v>
      </c>
      <c r="D84" s="88" t="s">
        <v>251</v>
      </c>
      <c r="E84" s="88"/>
      <c r="F84" s="2" t="s">
        <v>113</v>
      </c>
      <c r="G84" s="53">
        <v>26</v>
      </c>
      <c r="H84" s="68">
        <v>0</v>
      </c>
    </row>
    <row r="85" spans="1:8" ht="14.5" x14ac:dyDescent="0.35">
      <c r="A85" s="69"/>
      <c r="D85" s="70" t="s">
        <v>1491</v>
      </c>
      <c r="E85" s="180" t="s">
        <v>10</v>
      </c>
      <c r="F85" s="180"/>
      <c r="G85" s="71">
        <v>18</v>
      </c>
      <c r="H85" s="49"/>
    </row>
    <row r="86" spans="1:8" ht="14.5" x14ac:dyDescent="0.35">
      <c r="A86" s="1" t="s">
        <v>10</v>
      </c>
      <c r="B86" s="2" t="s">
        <v>10</v>
      </c>
      <c r="C86" s="2" t="s">
        <v>10</v>
      </c>
      <c r="D86" s="70" t="s">
        <v>140</v>
      </c>
      <c r="E86" s="180" t="s">
        <v>10</v>
      </c>
      <c r="F86" s="180"/>
      <c r="G86" s="71">
        <v>8</v>
      </c>
      <c r="H86" s="72" t="s">
        <v>10</v>
      </c>
    </row>
    <row r="87" spans="1:8" ht="14.5" x14ac:dyDescent="0.35">
      <c r="A87" s="1" t="s">
        <v>252</v>
      </c>
      <c r="B87" s="2" t="s">
        <v>10</v>
      </c>
      <c r="C87" s="2" t="s">
        <v>253</v>
      </c>
      <c r="D87" s="88" t="s">
        <v>254</v>
      </c>
      <c r="E87" s="88"/>
      <c r="F87" s="2" t="s">
        <v>113</v>
      </c>
      <c r="G87" s="53">
        <v>24</v>
      </c>
      <c r="H87" s="68">
        <v>0</v>
      </c>
    </row>
    <row r="88" spans="1:8" ht="14.5" x14ac:dyDescent="0.35">
      <c r="A88" s="69"/>
      <c r="D88" s="70" t="s">
        <v>1492</v>
      </c>
      <c r="E88" s="180" t="s">
        <v>10</v>
      </c>
      <c r="F88" s="180"/>
      <c r="G88" s="71">
        <v>16</v>
      </c>
      <c r="H88" s="49"/>
    </row>
    <row r="89" spans="1:8" ht="14.5" x14ac:dyDescent="0.35">
      <c r="A89" s="1" t="s">
        <v>10</v>
      </c>
      <c r="B89" s="2" t="s">
        <v>10</v>
      </c>
      <c r="C89" s="2" t="s">
        <v>10</v>
      </c>
      <c r="D89" s="70" t="s">
        <v>140</v>
      </c>
      <c r="E89" s="180" t="s">
        <v>10</v>
      </c>
      <c r="F89" s="180"/>
      <c r="G89" s="71">
        <v>8</v>
      </c>
      <c r="H89" s="72" t="s">
        <v>10</v>
      </c>
    </row>
    <row r="90" spans="1:8" ht="14.5" x14ac:dyDescent="0.35">
      <c r="A90" s="1" t="s">
        <v>255</v>
      </c>
      <c r="B90" s="2" t="s">
        <v>10</v>
      </c>
      <c r="C90" s="2" t="s">
        <v>256</v>
      </c>
      <c r="D90" s="88" t="s">
        <v>257</v>
      </c>
      <c r="E90" s="88"/>
      <c r="F90" s="2" t="s">
        <v>137</v>
      </c>
      <c r="G90" s="53">
        <v>28</v>
      </c>
      <c r="H90" s="68">
        <v>0</v>
      </c>
    </row>
    <row r="91" spans="1:8" ht="14.5" x14ac:dyDescent="0.35">
      <c r="A91" s="69"/>
      <c r="D91" s="70" t="s">
        <v>180</v>
      </c>
      <c r="E91" s="180" t="s">
        <v>10</v>
      </c>
      <c r="F91" s="180"/>
      <c r="G91" s="71">
        <v>20</v>
      </c>
      <c r="H91" s="49"/>
    </row>
    <row r="92" spans="1:8" ht="14.5" x14ac:dyDescent="0.35">
      <c r="A92" s="1" t="s">
        <v>10</v>
      </c>
      <c r="B92" s="2" t="s">
        <v>10</v>
      </c>
      <c r="C92" s="2" t="s">
        <v>10</v>
      </c>
      <c r="D92" s="70" t="s">
        <v>140</v>
      </c>
      <c r="E92" s="180" t="s">
        <v>10</v>
      </c>
      <c r="F92" s="180"/>
      <c r="G92" s="71">
        <v>8</v>
      </c>
      <c r="H92" s="72" t="s">
        <v>10</v>
      </c>
    </row>
    <row r="93" spans="1:8" ht="14.5" x14ac:dyDescent="0.35">
      <c r="A93" s="1" t="s">
        <v>258</v>
      </c>
      <c r="B93" s="2" t="s">
        <v>10</v>
      </c>
      <c r="C93" s="2" t="s">
        <v>259</v>
      </c>
      <c r="D93" s="88" t="s">
        <v>260</v>
      </c>
      <c r="E93" s="88"/>
      <c r="F93" s="2" t="s">
        <v>137</v>
      </c>
      <c r="G93" s="53">
        <v>14</v>
      </c>
      <c r="H93" s="68">
        <v>0</v>
      </c>
    </row>
    <row r="94" spans="1:8" ht="14.5" x14ac:dyDescent="0.35">
      <c r="A94" s="69"/>
      <c r="D94" s="70" t="s">
        <v>148</v>
      </c>
      <c r="E94" s="180" t="s">
        <v>10</v>
      </c>
      <c r="F94" s="180"/>
      <c r="G94" s="71">
        <v>10</v>
      </c>
      <c r="H94" s="49"/>
    </row>
    <row r="95" spans="1:8" ht="14.5" x14ac:dyDescent="0.35">
      <c r="A95" s="1" t="s">
        <v>10</v>
      </c>
      <c r="B95" s="2" t="s">
        <v>10</v>
      </c>
      <c r="C95" s="2" t="s">
        <v>10</v>
      </c>
      <c r="D95" s="70" t="s">
        <v>125</v>
      </c>
      <c r="E95" s="180" t="s">
        <v>10</v>
      </c>
      <c r="F95" s="180"/>
      <c r="G95" s="71">
        <v>4</v>
      </c>
      <c r="H95" s="72" t="s">
        <v>10</v>
      </c>
    </row>
    <row r="96" spans="1:8" ht="14.5" x14ac:dyDescent="0.35">
      <c r="A96" s="1" t="s">
        <v>261</v>
      </c>
      <c r="B96" s="2" t="s">
        <v>10</v>
      </c>
      <c r="C96" s="2" t="s">
        <v>262</v>
      </c>
      <c r="D96" s="88" t="s">
        <v>263</v>
      </c>
      <c r="E96" s="88"/>
      <c r="F96" s="2" t="s">
        <v>113</v>
      </c>
      <c r="G96" s="53">
        <v>24</v>
      </c>
      <c r="H96" s="68">
        <v>0</v>
      </c>
    </row>
    <row r="97" spans="1:8" ht="14.5" x14ac:dyDescent="0.35">
      <c r="A97" s="69"/>
      <c r="D97" s="70" t="s">
        <v>1490</v>
      </c>
      <c r="E97" s="180" t="s">
        <v>10</v>
      </c>
      <c r="F97" s="180"/>
      <c r="G97" s="71">
        <v>16</v>
      </c>
      <c r="H97" s="49"/>
    </row>
    <row r="98" spans="1:8" ht="14.5" x14ac:dyDescent="0.35">
      <c r="A98" s="1" t="s">
        <v>10</v>
      </c>
      <c r="B98" s="2" t="s">
        <v>10</v>
      </c>
      <c r="C98" s="2" t="s">
        <v>10</v>
      </c>
      <c r="D98" s="70" t="s">
        <v>140</v>
      </c>
      <c r="E98" s="180" t="s">
        <v>10</v>
      </c>
      <c r="F98" s="180"/>
      <c r="G98" s="71">
        <v>8</v>
      </c>
      <c r="H98" s="72" t="s">
        <v>10</v>
      </c>
    </row>
    <row r="99" spans="1:8" ht="14.5" x14ac:dyDescent="0.35">
      <c r="A99" s="73" t="s">
        <v>10</v>
      </c>
      <c r="B99" s="51" t="s">
        <v>10</v>
      </c>
      <c r="C99" s="51" t="s">
        <v>264</v>
      </c>
      <c r="D99" s="173" t="s">
        <v>265</v>
      </c>
      <c r="E99" s="173"/>
      <c r="F99" s="51" t="s">
        <v>10</v>
      </c>
      <c r="G99" s="36" t="s">
        <v>10</v>
      </c>
      <c r="H99" s="74" t="s">
        <v>10</v>
      </c>
    </row>
    <row r="100" spans="1:8" ht="14.5" x14ac:dyDescent="0.35">
      <c r="A100" s="1" t="s">
        <v>266</v>
      </c>
      <c r="B100" s="2" t="s">
        <v>10</v>
      </c>
      <c r="C100" s="2" t="s">
        <v>267</v>
      </c>
      <c r="D100" s="181" t="s">
        <v>1493</v>
      </c>
      <c r="E100" s="181" t="s">
        <v>10</v>
      </c>
      <c r="F100" s="181"/>
      <c r="G100" s="71">
        <v>176</v>
      </c>
      <c r="H100" s="68">
        <v>0</v>
      </c>
    </row>
    <row r="101" spans="1:8" ht="14.5" x14ac:dyDescent="0.35">
      <c r="A101" s="1" t="s">
        <v>271</v>
      </c>
      <c r="B101" s="2" t="s">
        <v>10</v>
      </c>
      <c r="C101" s="2" t="s">
        <v>272</v>
      </c>
      <c r="D101" s="181" t="s">
        <v>1494</v>
      </c>
      <c r="E101" s="181" t="s">
        <v>10</v>
      </c>
      <c r="F101" s="181"/>
      <c r="G101" s="71">
        <v>105</v>
      </c>
      <c r="H101" s="68">
        <v>0</v>
      </c>
    </row>
    <row r="102" spans="1:8" ht="14.5" x14ac:dyDescent="0.35">
      <c r="A102" s="1" t="s">
        <v>274</v>
      </c>
      <c r="B102" s="2" t="s">
        <v>10</v>
      </c>
      <c r="C102" s="2" t="s">
        <v>275</v>
      </c>
      <c r="D102" s="88" t="s">
        <v>276</v>
      </c>
      <c r="E102" s="88"/>
      <c r="F102" s="2" t="s">
        <v>113</v>
      </c>
      <c r="G102" s="53">
        <v>32.5</v>
      </c>
      <c r="H102" s="68">
        <v>0</v>
      </c>
    </row>
    <row r="103" spans="1:8" ht="14.5" x14ac:dyDescent="0.35">
      <c r="A103" s="69"/>
      <c r="D103" s="70" t="s">
        <v>1495</v>
      </c>
      <c r="E103" s="180" t="s">
        <v>10</v>
      </c>
      <c r="F103" s="180"/>
      <c r="G103" s="71">
        <v>22.5</v>
      </c>
      <c r="H103" s="49"/>
    </row>
    <row r="104" spans="1:8" ht="14.5" x14ac:dyDescent="0.35">
      <c r="A104" s="1" t="s">
        <v>10</v>
      </c>
      <c r="B104" s="2" t="s">
        <v>10</v>
      </c>
      <c r="C104" s="2" t="s">
        <v>10</v>
      </c>
      <c r="D104" s="70" t="s">
        <v>148</v>
      </c>
      <c r="E104" s="180" t="s">
        <v>10</v>
      </c>
      <c r="F104" s="180"/>
      <c r="G104" s="71">
        <v>10</v>
      </c>
      <c r="H104" s="72" t="s">
        <v>10</v>
      </c>
    </row>
    <row r="105" spans="1:8" ht="14.5" x14ac:dyDescent="0.35">
      <c r="A105" s="1" t="s">
        <v>277</v>
      </c>
      <c r="B105" s="2" t="s">
        <v>10</v>
      </c>
      <c r="C105" s="2" t="s">
        <v>278</v>
      </c>
      <c r="D105" s="88" t="s">
        <v>279</v>
      </c>
      <c r="E105" s="88"/>
      <c r="F105" s="2" t="s">
        <v>113</v>
      </c>
      <c r="G105" s="53">
        <v>80</v>
      </c>
      <c r="H105" s="68">
        <v>0</v>
      </c>
    </row>
    <row r="106" spans="1:8" ht="14.5" x14ac:dyDescent="0.35">
      <c r="A106" s="69"/>
      <c r="D106" s="70" t="s">
        <v>292</v>
      </c>
      <c r="E106" s="180" t="s">
        <v>10</v>
      </c>
      <c r="F106" s="180"/>
      <c r="G106" s="71">
        <v>50</v>
      </c>
      <c r="H106" s="49"/>
    </row>
    <row r="107" spans="1:8" ht="14.5" x14ac:dyDescent="0.35">
      <c r="A107" s="1" t="s">
        <v>10</v>
      </c>
      <c r="B107" s="2" t="s">
        <v>10</v>
      </c>
      <c r="C107" s="2" t="s">
        <v>10</v>
      </c>
      <c r="D107" s="70" t="s">
        <v>216</v>
      </c>
      <c r="E107" s="180" t="s">
        <v>10</v>
      </c>
      <c r="F107" s="180"/>
      <c r="G107" s="71">
        <v>30</v>
      </c>
      <c r="H107" s="72" t="s">
        <v>10</v>
      </c>
    </row>
    <row r="108" spans="1:8" ht="14.5" x14ac:dyDescent="0.35">
      <c r="A108" s="1" t="s">
        <v>280</v>
      </c>
      <c r="B108" s="2" t="s">
        <v>10</v>
      </c>
      <c r="C108" s="2" t="s">
        <v>281</v>
      </c>
      <c r="D108" s="88" t="s">
        <v>282</v>
      </c>
      <c r="E108" s="88"/>
      <c r="F108" s="2" t="s">
        <v>113</v>
      </c>
      <c r="G108" s="53">
        <v>104.28</v>
      </c>
      <c r="H108" s="68">
        <v>0</v>
      </c>
    </row>
    <row r="109" spans="1:8" ht="14.5" x14ac:dyDescent="0.35">
      <c r="A109" s="69"/>
      <c r="D109" s="70" t="s">
        <v>1496</v>
      </c>
      <c r="E109" s="180" t="s">
        <v>10</v>
      </c>
      <c r="F109" s="180"/>
      <c r="G109" s="71">
        <v>16.8</v>
      </c>
      <c r="H109" s="49"/>
    </row>
    <row r="110" spans="1:8" ht="14.5" x14ac:dyDescent="0.35">
      <c r="A110" s="1" t="s">
        <v>10</v>
      </c>
      <c r="B110" s="2" t="s">
        <v>10</v>
      </c>
      <c r="C110" s="2" t="s">
        <v>10</v>
      </c>
      <c r="D110" s="70" t="s">
        <v>1497</v>
      </c>
      <c r="E110" s="180" t="s">
        <v>10</v>
      </c>
      <c r="F110" s="180"/>
      <c r="G110" s="71">
        <v>0.9</v>
      </c>
      <c r="H110" s="72" t="s">
        <v>10</v>
      </c>
    </row>
    <row r="111" spans="1:8" ht="14.5" x14ac:dyDescent="0.35">
      <c r="A111" s="1" t="s">
        <v>10</v>
      </c>
      <c r="B111" s="2" t="s">
        <v>10</v>
      </c>
      <c r="C111" s="2" t="s">
        <v>10</v>
      </c>
      <c r="D111" s="70" t="s">
        <v>1498</v>
      </c>
      <c r="E111" s="180" t="s">
        <v>10</v>
      </c>
      <c r="F111" s="180"/>
      <c r="G111" s="71">
        <v>5.04</v>
      </c>
      <c r="H111" s="72" t="s">
        <v>10</v>
      </c>
    </row>
    <row r="112" spans="1:8" ht="14.5" x14ac:dyDescent="0.35">
      <c r="A112" s="1" t="s">
        <v>10</v>
      </c>
      <c r="B112" s="2" t="s">
        <v>10</v>
      </c>
      <c r="C112" s="2" t="s">
        <v>10</v>
      </c>
      <c r="D112" s="70" t="s">
        <v>1499</v>
      </c>
      <c r="E112" s="180" t="s">
        <v>10</v>
      </c>
      <c r="F112" s="180"/>
      <c r="G112" s="71">
        <v>10.8</v>
      </c>
      <c r="H112" s="72" t="s">
        <v>10</v>
      </c>
    </row>
    <row r="113" spans="1:8" ht="14.5" x14ac:dyDescent="0.35">
      <c r="A113" s="1" t="s">
        <v>10</v>
      </c>
      <c r="B113" s="2" t="s">
        <v>10</v>
      </c>
      <c r="C113" s="2" t="s">
        <v>10</v>
      </c>
      <c r="D113" s="70" t="s">
        <v>1500</v>
      </c>
      <c r="E113" s="180" t="s">
        <v>10</v>
      </c>
      <c r="F113" s="180"/>
      <c r="G113" s="71">
        <v>11.22</v>
      </c>
      <c r="H113" s="72" t="s">
        <v>10</v>
      </c>
    </row>
    <row r="114" spans="1:8" ht="14.5" x14ac:dyDescent="0.35">
      <c r="A114" s="1" t="s">
        <v>10</v>
      </c>
      <c r="B114" s="2" t="s">
        <v>10</v>
      </c>
      <c r="C114" s="2" t="s">
        <v>10</v>
      </c>
      <c r="D114" s="70" t="s">
        <v>1501</v>
      </c>
      <c r="E114" s="180" t="s">
        <v>10</v>
      </c>
      <c r="F114" s="180"/>
      <c r="G114" s="71">
        <v>6.04</v>
      </c>
      <c r="H114" s="72" t="s">
        <v>10</v>
      </c>
    </row>
    <row r="115" spans="1:8" ht="14.5" x14ac:dyDescent="0.35">
      <c r="A115" s="1" t="s">
        <v>10</v>
      </c>
      <c r="B115" s="2" t="s">
        <v>10</v>
      </c>
      <c r="C115" s="2" t="s">
        <v>10</v>
      </c>
      <c r="D115" s="70" t="s">
        <v>1502</v>
      </c>
      <c r="E115" s="180" t="s">
        <v>10</v>
      </c>
      <c r="F115" s="180"/>
      <c r="G115" s="71">
        <v>2.2000000000000002</v>
      </c>
      <c r="H115" s="72" t="s">
        <v>10</v>
      </c>
    </row>
    <row r="116" spans="1:8" ht="14.5" x14ac:dyDescent="0.35">
      <c r="A116" s="1" t="s">
        <v>10</v>
      </c>
      <c r="B116" s="2" t="s">
        <v>10</v>
      </c>
      <c r="C116" s="2" t="s">
        <v>10</v>
      </c>
      <c r="D116" s="70" t="s">
        <v>1503</v>
      </c>
      <c r="E116" s="180" t="s">
        <v>10</v>
      </c>
      <c r="F116" s="180"/>
      <c r="G116" s="71">
        <v>14.85</v>
      </c>
      <c r="H116" s="72" t="s">
        <v>10</v>
      </c>
    </row>
    <row r="117" spans="1:8" ht="14.5" x14ac:dyDescent="0.35">
      <c r="A117" s="1" t="s">
        <v>10</v>
      </c>
      <c r="B117" s="2" t="s">
        <v>10</v>
      </c>
      <c r="C117" s="2" t="s">
        <v>10</v>
      </c>
      <c r="D117" s="70" t="s">
        <v>1504</v>
      </c>
      <c r="E117" s="180" t="s">
        <v>10</v>
      </c>
      <c r="F117" s="180"/>
      <c r="G117" s="71">
        <v>14.39</v>
      </c>
      <c r="H117" s="72" t="s">
        <v>10</v>
      </c>
    </row>
    <row r="118" spans="1:8" ht="14.5" x14ac:dyDescent="0.35">
      <c r="A118" s="1" t="s">
        <v>10</v>
      </c>
      <c r="B118" s="2" t="s">
        <v>10</v>
      </c>
      <c r="C118" s="2" t="s">
        <v>10</v>
      </c>
      <c r="D118" s="70" t="s">
        <v>1505</v>
      </c>
      <c r="E118" s="180" t="s">
        <v>10</v>
      </c>
      <c r="F118" s="180"/>
      <c r="G118" s="71">
        <v>22.04</v>
      </c>
      <c r="H118" s="72" t="s">
        <v>10</v>
      </c>
    </row>
    <row r="119" spans="1:8" ht="14.5" x14ac:dyDescent="0.35">
      <c r="A119" s="1" t="s">
        <v>283</v>
      </c>
      <c r="B119" s="2" t="s">
        <v>10</v>
      </c>
      <c r="C119" s="2" t="s">
        <v>284</v>
      </c>
      <c r="D119" s="88" t="s">
        <v>285</v>
      </c>
      <c r="E119" s="88"/>
      <c r="F119" s="2" t="s">
        <v>113</v>
      </c>
      <c r="G119" s="53">
        <v>106</v>
      </c>
      <c r="H119" s="68">
        <v>0</v>
      </c>
    </row>
    <row r="120" spans="1:8" ht="14.5" x14ac:dyDescent="0.35">
      <c r="A120" s="69"/>
      <c r="D120" s="70" t="s">
        <v>405</v>
      </c>
      <c r="E120" s="180" t="s">
        <v>10</v>
      </c>
      <c r="F120" s="180"/>
      <c r="G120" s="71">
        <v>84</v>
      </c>
      <c r="H120" s="49"/>
    </row>
    <row r="121" spans="1:8" ht="14.5" x14ac:dyDescent="0.35">
      <c r="A121" s="1" t="s">
        <v>10</v>
      </c>
      <c r="B121" s="2" t="s">
        <v>10</v>
      </c>
      <c r="C121" s="2" t="s">
        <v>10</v>
      </c>
      <c r="D121" s="70" t="s">
        <v>187</v>
      </c>
      <c r="E121" s="180" t="s">
        <v>10</v>
      </c>
      <c r="F121" s="180"/>
      <c r="G121" s="71">
        <v>22</v>
      </c>
      <c r="H121" s="72" t="s">
        <v>10</v>
      </c>
    </row>
    <row r="122" spans="1:8" ht="14.5" x14ac:dyDescent="0.35">
      <c r="A122" s="73" t="s">
        <v>10</v>
      </c>
      <c r="B122" s="51" t="s">
        <v>10</v>
      </c>
      <c r="C122" s="51" t="s">
        <v>286</v>
      </c>
      <c r="D122" s="173" t="s">
        <v>287</v>
      </c>
      <c r="E122" s="173"/>
      <c r="F122" s="51" t="s">
        <v>10</v>
      </c>
      <c r="G122" s="36" t="s">
        <v>10</v>
      </c>
      <c r="H122" s="74" t="s">
        <v>10</v>
      </c>
    </row>
    <row r="123" spans="1:8" ht="14.5" x14ac:dyDescent="0.35">
      <c r="A123" s="1" t="s">
        <v>288</v>
      </c>
      <c r="B123" s="2" t="s">
        <v>10</v>
      </c>
      <c r="C123" s="2" t="s">
        <v>289</v>
      </c>
      <c r="D123" s="88" t="s">
        <v>290</v>
      </c>
      <c r="E123" s="88"/>
      <c r="F123" s="2" t="s">
        <v>113</v>
      </c>
      <c r="G123" s="53">
        <v>473.4</v>
      </c>
      <c r="H123" s="68">
        <v>0</v>
      </c>
    </row>
    <row r="124" spans="1:8" ht="14.5" x14ac:dyDescent="0.35">
      <c r="A124" s="69"/>
      <c r="D124" s="70" t="s">
        <v>1091</v>
      </c>
      <c r="E124" s="180" t="s">
        <v>10</v>
      </c>
      <c r="F124" s="180"/>
      <c r="G124" s="71">
        <v>293</v>
      </c>
      <c r="H124" s="49"/>
    </row>
    <row r="125" spans="1:8" ht="14.5" x14ac:dyDescent="0.35">
      <c r="A125" s="1" t="s">
        <v>10</v>
      </c>
      <c r="B125" s="2" t="s">
        <v>10</v>
      </c>
      <c r="C125" s="2" t="s">
        <v>10</v>
      </c>
      <c r="D125" s="70" t="s">
        <v>1506</v>
      </c>
      <c r="E125" s="180" t="s">
        <v>1507</v>
      </c>
      <c r="F125" s="180"/>
      <c r="G125" s="71">
        <v>180.4</v>
      </c>
      <c r="H125" s="72" t="s">
        <v>10</v>
      </c>
    </row>
    <row r="126" spans="1:8" ht="14.5" x14ac:dyDescent="0.35">
      <c r="A126" s="1" t="s">
        <v>292</v>
      </c>
      <c r="B126" s="2" t="s">
        <v>10</v>
      </c>
      <c r="C126" s="2" t="s">
        <v>293</v>
      </c>
      <c r="D126" s="88" t="s">
        <v>294</v>
      </c>
      <c r="E126" s="88"/>
      <c r="F126" s="2" t="s">
        <v>143</v>
      </c>
      <c r="G126" s="53">
        <v>28.22</v>
      </c>
      <c r="H126" s="68">
        <v>0</v>
      </c>
    </row>
    <row r="127" spans="1:8" ht="14.5" x14ac:dyDescent="0.35">
      <c r="A127" s="69"/>
      <c r="D127" s="70" t="s">
        <v>1508</v>
      </c>
      <c r="E127" s="180" t="s">
        <v>10</v>
      </c>
      <c r="F127" s="180"/>
      <c r="G127" s="71">
        <v>17.3</v>
      </c>
      <c r="H127" s="49"/>
    </row>
    <row r="128" spans="1:8" ht="14.5" x14ac:dyDescent="0.35">
      <c r="A128" s="1" t="s">
        <v>10</v>
      </c>
      <c r="B128" s="2" t="s">
        <v>10</v>
      </c>
      <c r="C128" s="2" t="s">
        <v>10</v>
      </c>
      <c r="D128" s="70" t="s">
        <v>1509</v>
      </c>
      <c r="E128" s="180" t="s">
        <v>1510</v>
      </c>
      <c r="F128" s="180"/>
      <c r="G128" s="71">
        <v>10.82</v>
      </c>
      <c r="H128" s="72" t="s">
        <v>10</v>
      </c>
    </row>
    <row r="129" spans="1:8" ht="14.5" x14ac:dyDescent="0.35">
      <c r="A129" s="1" t="s">
        <v>10</v>
      </c>
      <c r="B129" s="2" t="s">
        <v>10</v>
      </c>
      <c r="C129" s="2" t="s">
        <v>10</v>
      </c>
      <c r="D129" s="70" t="s">
        <v>1511</v>
      </c>
      <c r="E129" s="180" t="s">
        <v>10</v>
      </c>
      <c r="F129" s="180"/>
      <c r="G129" s="71">
        <v>0.1</v>
      </c>
      <c r="H129" s="72" t="s">
        <v>10</v>
      </c>
    </row>
    <row r="130" spans="1:8" ht="14.5" x14ac:dyDescent="0.35">
      <c r="A130" s="1" t="s">
        <v>295</v>
      </c>
      <c r="B130" s="2" t="s">
        <v>10</v>
      </c>
      <c r="C130" s="2" t="s">
        <v>296</v>
      </c>
      <c r="D130" s="181" t="s">
        <v>1512</v>
      </c>
      <c r="E130" s="181" t="s">
        <v>10</v>
      </c>
      <c r="F130" s="181"/>
      <c r="G130" s="71">
        <v>4.32</v>
      </c>
      <c r="H130" s="68">
        <v>0</v>
      </c>
    </row>
    <row r="131" spans="1:8" ht="14.5" x14ac:dyDescent="0.35">
      <c r="A131" s="1" t="s">
        <v>298</v>
      </c>
      <c r="B131" s="2" t="s">
        <v>10</v>
      </c>
      <c r="C131" s="2" t="s">
        <v>299</v>
      </c>
      <c r="D131" s="181" t="s">
        <v>118</v>
      </c>
      <c r="E131" s="181" t="s">
        <v>10</v>
      </c>
      <c r="F131" s="181"/>
      <c r="G131" s="71">
        <v>2</v>
      </c>
      <c r="H131" s="68">
        <v>0</v>
      </c>
    </row>
    <row r="132" spans="1:8" ht="14.5" x14ac:dyDescent="0.35">
      <c r="A132" s="73" t="s">
        <v>10</v>
      </c>
      <c r="B132" s="51" t="s">
        <v>10</v>
      </c>
      <c r="C132" s="51" t="s">
        <v>301</v>
      </c>
      <c r="D132" s="173" t="s">
        <v>302</v>
      </c>
      <c r="E132" s="173"/>
      <c r="F132" s="51" t="s">
        <v>10</v>
      </c>
      <c r="G132" s="36" t="s">
        <v>10</v>
      </c>
      <c r="H132" s="74" t="s">
        <v>10</v>
      </c>
    </row>
    <row r="133" spans="1:8" ht="14.5" x14ac:dyDescent="0.35">
      <c r="A133" s="1" t="s">
        <v>303</v>
      </c>
      <c r="B133" s="2" t="s">
        <v>10</v>
      </c>
      <c r="C133" s="2" t="s">
        <v>304</v>
      </c>
      <c r="D133" s="88" t="s">
        <v>305</v>
      </c>
      <c r="E133" s="88"/>
      <c r="F133" s="2" t="s">
        <v>121</v>
      </c>
      <c r="G133" s="53">
        <v>31</v>
      </c>
      <c r="H133" s="68">
        <v>0</v>
      </c>
    </row>
    <row r="134" spans="1:8" ht="14.5" x14ac:dyDescent="0.35">
      <c r="A134" s="69"/>
      <c r="D134" s="70" t="s">
        <v>145</v>
      </c>
      <c r="E134" s="180" t="s">
        <v>1513</v>
      </c>
      <c r="F134" s="180"/>
      <c r="G134" s="71">
        <v>9</v>
      </c>
      <c r="H134" s="49"/>
    </row>
    <row r="135" spans="1:8" ht="14.5" x14ac:dyDescent="0.35">
      <c r="A135" s="1" t="s">
        <v>10</v>
      </c>
      <c r="B135" s="2" t="s">
        <v>10</v>
      </c>
      <c r="C135" s="2" t="s">
        <v>10</v>
      </c>
      <c r="D135" s="70" t="s">
        <v>140</v>
      </c>
      <c r="E135" s="180" t="s">
        <v>1514</v>
      </c>
      <c r="F135" s="180"/>
      <c r="G135" s="71">
        <v>8</v>
      </c>
      <c r="H135" s="72" t="s">
        <v>10</v>
      </c>
    </row>
    <row r="136" spans="1:8" ht="14.5" x14ac:dyDescent="0.35">
      <c r="A136" s="1" t="s">
        <v>10</v>
      </c>
      <c r="B136" s="2" t="s">
        <v>10</v>
      </c>
      <c r="C136" s="2" t="s">
        <v>10</v>
      </c>
      <c r="D136" s="70" t="s">
        <v>110</v>
      </c>
      <c r="E136" s="180" t="s">
        <v>1515</v>
      </c>
      <c r="F136" s="180"/>
      <c r="G136" s="71">
        <v>1</v>
      </c>
      <c r="H136" s="72" t="s">
        <v>10</v>
      </c>
    </row>
    <row r="137" spans="1:8" ht="14.5" x14ac:dyDescent="0.35">
      <c r="A137" s="1" t="s">
        <v>10</v>
      </c>
      <c r="B137" s="2" t="s">
        <v>10</v>
      </c>
      <c r="C137" s="2" t="s">
        <v>10</v>
      </c>
      <c r="D137" s="70" t="s">
        <v>110</v>
      </c>
      <c r="E137" s="180" t="s">
        <v>1516</v>
      </c>
      <c r="F137" s="180"/>
      <c r="G137" s="71">
        <v>1</v>
      </c>
      <c r="H137" s="72" t="s">
        <v>10</v>
      </c>
    </row>
    <row r="138" spans="1:8" ht="14.5" x14ac:dyDescent="0.35">
      <c r="A138" s="1" t="s">
        <v>10</v>
      </c>
      <c r="B138" s="2" t="s">
        <v>10</v>
      </c>
      <c r="C138" s="2" t="s">
        <v>10</v>
      </c>
      <c r="D138" s="70" t="s">
        <v>110</v>
      </c>
      <c r="E138" s="180" t="s">
        <v>1517</v>
      </c>
      <c r="F138" s="180"/>
      <c r="G138" s="71">
        <v>1</v>
      </c>
      <c r="H138" s="72" t="s">
        <v>10</v>
      </c>
    </row>
    <row r="139" spans="1:8" ht="14.5" x14ac:dyDescent="0.35">
      <c r="A139" s="1" t="s">
        <v>10</v>
      </c>
      <c r="B139" s="2" t="s">
        <v>10</v>
      </c>
      <c r="C139" s="2" t="s">
        <v>10</v>
      </c>
      <c r="D139" s="70" t="s">
        <v>125</v>
      </c>
      <c r="E139" s="180" t="s">
        <v>1518</v>
      </c>
      <c r="F139" s="180"/>
      <c r="G139" s="71">
        <v>4</v>
      </c>
      <c r="H139" s="72" t="s">
        <v>10</v>
      </c>
    </row>
    <row r="140" spans="1:8" ht="14.5" x14ac:dyDescent="0.35">
      <c r="A140" s="1" t="s">
        <v>10</v>
      </c>
      <c r="B140" s="2" t="s">
        <v>10</v>
      </c>
      <c r="C140" s="2" t="s">
        <v>10</v>
      </c>
      <c r="D140" s="70" t="s">
        <v>118</v>
      </c>
      <c r="E140" s="180" t="s">
        <v>1519</v>
      </c>
      <c r="F140" s="180"/>
      <c r="G140" s="71">
        <v>2</v>
      </c>
      <c r="H140" s="72" t="s">
        <v>10</v>
      </c>
    </row>
    <row r="141" spans="1:8" ht="14.5" x14ac:dyDescent="0.35">
      <c r="A141" s="1" t="s">
        <v>10</v>
      </c>
      <c r="B141" s="2" t="s">
        <v>10</v>
      </c>
      <c r="C141" s="2" t="s">
        <v>10</v>
      </c>
      <c r="D141" s="70" t="s">
        <v>118</v>
      </c>
      <c r="E141" s="180" t="s">
        <v>1520</v>
      </c>
      <c r="F141" s="180"/>
      <c r="G141" s="71">
        <v>2</v>
      </c>
      <c r="H141" s="72" t="s">
        <v>10</v>
      </c>
    </row>
    <row r="142" spans="1:8" ht="14.5" x14ac:dyDescent="0.35">
      <c r="A142" s="1" t="s">
        <v>10</v>
      </c>
      <c r="B142" s="2" t="s">
        <v>10</v>
      </c>
      <c r="C142" s="2" t="s">
        <v>10</v>
      </c>
      <c r="D142" s="70" t="s">
        <v>1521</v>
      </c>
      <c r="E142" s="180" t="s">
        <v>1522</v>
      </c>
      <c r="F142" s="180"/>
      <c r="G142" s="71">
        <v>2</v>
      </c>
      <c r="H142" s="72" t="s">
        <v>10</v>
      </c>
    </row>
    <row r="143" spans="1:8" ht="14.5" x14ac:dyDescent="0.35">
      <c r="A143" s="1" t="s">
        <v>10</v>
      </c>
      <c r="B143" s="2" t="s">
        <v>10</v>
      </c>
      <c r="C143" s="2" t="s">
        <v>10</v>
      </c>
      <c r="D143" s="70" t="s">
        <v>110</v>
      </c>
      <c r="E143" s="180" t="s">
        <v>1523</v>
      </c>
      <c r="F143" s="180"/>
      <c r="G143" s="71">
        <v>1</v>
      </c>
      <c r="H143" s="72" t="s">
        <v>10</v>
      </c>
    </row>
    <row r="144" spans="1:8" ht="14.5" x14ac:dyDescent="0.35">
      <c r="A144" s="73" t="s">
        <v>10</v>
      </c>
      <c r="B144" s="51" t="s">
        <v>10</v>
      </c>
      <c r="C144" s="51" t="s">
        <v>307</v>
      </c>
      <c r="D144" s="173" t="s">
        <v>308</v>
      </c>
      <c r="E144" s="173"/>
      <c r="F144" s="51" t="s">
        <v>10</v>
      </c>
      <c r="G144" s="36" t="s">
        <v>10</v>
      </c>
      <c r="H144" s="74" t="s">
        <v>10</v>
      </c>
    </row>
    <row r="145" spans="1:8" ht="14.5" x14ac:dyDescent="0.35">
      <c r="A145" s="1" t="s">
        <v>309</v>
      </c>
      <c r="B145" s="2" t="s">
        <v>10</v>
      </c>
      <c r="C145" s="2" t="s">
        <v>310</v>
      </c>
      <c r="D145" s="181" t="s">
        <v>125</v>
      </c>
      <c r="E145" s="181" t="s">
        <v>10</v>
      </c>
      <c r="F145" s="181"/>
      <c r="G145" s="71">
        <v>4</v>
      </c>
      <c r="H145" s="68">
        <v>0</v>
      </c>
    </row>
    <row r="146" spans="1:8" ht="14.5" x14ac:dyDescent="0.35">
      <c r="A146" s="73" t="s">
        <v>10</v>
      </c>
      <c r="B146" s="51" t="s">
        <v>10</v>
      </c>
      <c r="C146" s="51" t="s">
        <v>314</v>
      </c>
      <c r="D146" s="173" t="s">
        <v>315</v>
      </c>
      <c r="E146" s="173"/>
      <c r="F146" s="51" t="s">
        <v>10</v>
      </c>
      <c r="G146" s="36" t="s">
        <v>10</v>
      </c>
      <c r="H146" s="74" t="s">
        <v>10</v>
      </c>
    </row>
    <row r="147" spans="1:8" ht="14.5" x14ac:dyDescent="0.35">
      <c r="A147" s="1" t="s">
        <v>316</v>
      </c>
      <c r="B147" s="2" t="s">
        <v>10</v>
      </c>
      <c r="C147" s="2" t="s">
        <v>317</v>
      </c>
      <c r="D147" s="181" t="s">
        <v>1524</v>
      </c>
      <c r="E147" s="181" t="s">
        <v>10</v>
      </c>
      <c r="F147" s="181"/>
      <c r="G147" s="71">
        <v>0.6</v>
      </c>
      <c r="H147" s="68">
        <v>0</v>
      </c>
    </row>
    <row r="148" spans="1:8" ht="14.5" x14ac:dyDescent="0.35">
      <c r="A148" s="73" t="s">
        <v>10</v>
      </c>
      <c r="B148" s="51" t="s">
        <v>10</v>
      </c>
      <c r="C148" s="51" t="s">
        <v>320</v>
      </c>
      <c r="D148" s="173" t="s">
        <v>321</v>
      </c>
      <c r="E148" s="173"/>
      <c r="F148" s="51" t="s">
        <v>10</v>
      </c>
      <c r="G148" s="36" t="s">
        <v>10</v>
      </c>
      <c r="H148" s="74" t="s">
        <v>10</v>
      </c>
    </row>
    <row r="149" spans="1:8" ht="14.5" x14ac:dyDescent="0.35">
      <c r="A149" s="1" t="s">
        <v>242</v>
      </c>
      <c r="B149" s="2" t="s">
        <v>10</v>
      </c>
      <c r="C149" s="2" t="s">
        <v>322</v>
      </c>
      <c r="D149" s="181" t="s">
        <v>1525</v>
      </c>
      <c r="E149" s="181" t="s">
        <v>1526</v>
      </c>
      <c r="F149" s="181"/>
      <c r="G149" s="71">
        <v>36</v>
      </c>
      <c r="H149" s="68">
        <v>0</v>
      </c>
    </row>
    <row r="150" spans="1:8" ht="14.5" x14ac:dyDescent="0.35">
      <c r="A150" s="1" t="s">
        <v>326</v>
      </c>
      <c r="B150" s="2" t="s">
        <v>10</v>
      </c>
      <c r="C150" s="2" t="s">
        <v>327</v>
      </c>
      <c r="D150" s="181" t="s">
        <v>261</v>
      </c>
      <c r="E150" s="181" t="s">
        <v>1526</v>
      </c>
      <c r="F150" s="181"/>
      <c r="G150" s="71">
        <v>42</v>
      </c>
      <c r="H150" s="68">
        <v>0</v>
      </c>
    </row>
    <row r="151" spans="1:8" ht="14.5" x14ac:dyDescent="0.35">
      <c r="A151" s="1" t="s">
        <v>329</v>
      </c>
      <c r="B151" s="2" t="s">
        <v>10</v>
      </c>
      <c r="C151" s="2" t="s">
        <v>330</v>
      </c>
      <c r="D151" s="181" t="s">
        <v>131</v>
      </c>
      <c r="E151" s="181" t="s">
        <v>10</v>
      </c>
      <c r="F151" s="181"/>
      <c r="G151" s="71">
        <v>6</v>
      </c>
      <c r="H151" s="68">
        <v>0</v>
      </c>
    </row>
    <row r="152" spans="1:8" ht="14.5" x14ac:dyDescent="0.35">
      <c r="A152" s="1" t="s">
        <v>332</v>
      </c>
      <c r="B152" s="2" t="s">
        <v>10</v>
      </c>
      <c r="C152" s="2" t="s">
        <v>333</v>
      </c>
      <c r="D152" s="181" t="s">
        <v>138</v>
      </c>
      <c r="E152" s="181" t="s">
        <v>1526</v>
      </c>
      <c r="F152" s="181"/>
      <c r="G152" s="71">
        <v>13</v>
      </c>
      <c r="H152" s="68">
        <v>0</v>
      </c>
    </row>
    <row r="153" spans="1:8" ht="14.5" x14ac:dyDescent="0.35">
      <c r="A153" s="1" t="s">
        <v>335</v>
      </c>
      <c r="B153" s="2" t="s">
        <v>10</v>
      </c>
      <c r="C153" s="2" t="s">
        <v>336</v>
      </c>
      <c r="D153" s="181" t="s">
        <v>140</v>
      </c>
      <c r="E153" s="181" t="s">
        <v>1526</v>
      </c>
      <c r="F153" s="181"/>
      <c r="G153" s="71">
        <v>8</v>
      </c>
      <c r="H153" s="68">
        <v>0</v>
      </c>
    </row>
    <row r="154" spans="1:8" ht="14.5" x14ac:dyDescent="0.35">
      <c r="A154" s="1" t="s">
        <v>264</v>
      </c>
      <c r="B154" s="2" t="s">
        <v>10</v>
      </c>
      <c r="C154" s="2" t="s">
        <v>338</v>
      </c>
      <c r="D154" s="181" t="s">
        <v>244</v>
      </c>
      <c r="E154" s="181" t="s">
        <v>10</v>
      </c>
      <c r="F154" s="181"/>
      <c r="G154" s="71">
        <v>37</v>
      </c>
      <c r="H154" s="68">
        <v>0</v>
      </c>
    </row>
    <row r="155" spans="1:8" ht="14.5" x14ac:dyDescent="0.35">
      <c r="A155" s="1" t="s">
        <v>340</v>
      </c>
      <c r="B155" s="2" t="s">
        <v>10</v>
      </c>
      <c r="C155" s="2" t="s">
        <v>341</v>
      </c>
      <c r="D155" s="181" t="s">
        <v>145</v>
      </c>
      <c r="E155" s="181" t="s">
        <v>10</v>
      </c>
      <c r="F155" s="181"/>
      <c r="G155" s="71">
        <v>9</v>
      </c>
      <c r="H155" s="68">
        <v>0</v>
      </c>
    </row>
    <row r="156" spans="1:8" ht="14.5" x14ac:dyDescent="0.35">
      <c r="A156" s="1" t="s">
        <v>286</v>
      </c>
      <c r="B156" s="2" t="s">
        <v>10</v>
      </c>
      <c r="C156" s="2" t="s">
        <v>343</v>
      </c>
      <c r="D156" s="181" t="s">
        <v>131</v>
      </c>
      <c r="E156" s="181" t="s">
        <v>1526</v>
      </c>
      <c r="F156" s="181"/>
      <c r="G156" s="71">
        <v>6</v>
      </c>
      <c r="H156" s="68">
        <v>0</v>
      </c>
    </row>
    <row r="157" spans="1:8" ht="14.5" x14ac:dyDescent="0.35">
      <c r="A157" s="1" t="s">
        <v>301</v>
      </c>
      <c r="B157" s="2" t="s">
        <v>10</v>
      </c>
      <c r="C157" s="2" t="s">
        <v>345</v>
      </c>
      <c r="D157" s="181" t="s">
        <v>195</v>
      </c>
      <c r="E157" s="181" t="s">
        <v>10</v>
      </c>
      <c r="F157" s="181"/>
      <c r="G157" s="71">
        <v>24</v>
      </c>
      <c r="H157" s="68">
        <v>0</v>
      </c>
    </row>
    <row r="158" spans="1:8" ht="14.5" x14ac:dyDescent="0.35">
      <c r="A158" s="1" t="s">
        <v>347</v>
      </c>
      <c r="B158" s="2" t="s">
        <v>10</v>
      </c>
      <c r="C158" s="2" t="s">
        <v>348</v>
      </c>
      <c r="D158" s="181" t="s">
        <v>148</v>
      </c>
      <c r="E158" s="181" t="s">
        <v>10</v>
      </c>
      <c r="F158" s="181"/>
      <c r="G158" s="71">
        <v>10</v>
      </c>
      <c r="H158" s="68">
        <v>0</v>
      </c>
    </row>
    <row r="159" spans="1:8" ht="14.5" x14ac:dyDescent="0.35">
      <c r="A159" s="1" t="s">
        <v>350</v>
      </c>
      <c r="B159" s="2" t="s">
        <v>10</v>
      </c>
      <c r="C159" s="2" t="s">
        <v>351</v>
      </c>
      <c r="D159" s="181" t="s">
        <v>125</v>
      </c>
      <c r="E159" s="181" t="s">
        <v>10</v>
      </c>
      <c r="F159" s="181"/>
      <c r="G159" s="71">
        <v>4</v>
      </c>
      <c r="H159" s="68">
        <v>0</v>
      </c>
    </row>
    <row r="160" spans="1:8" ht="14.5" x14ac:dyDescent="0.35">
      <c r="A160" s="1" t="s">
        <v>353</v>
      </c>
      <c r="B160" s="2" t="s">
        <v>10</v>
      </c>
      <c r="C160" s="2" t="s">
        <v>354</v>
      </c>
      <c r="D160" s="181" t="s">
        <v>244</v>
      </c>
      <c r="E160" s="181" t="s">
        <v>10</v>
      </c>
      <c r="F160" s="181"/>
      <c r="G160" s="71">
        <v>37</v>
      </c>
      <c r="H160" s="68">
        <v>0</v>
      </c>
    </row>
    <row r="161" spans="1:8" ht="14.5" x14ac:dyDescent="0.35">
      <c r="A161" s="1" t="s">
        <v>356</v>
      </c>
      <c r="B161" s="2" t="s">
        <v>10</v>
      </c>
      <c r="C161" s="2" t="s">
        <v>357</v>
      </c>
      <c r="D161" s="181" t="s">
        <v>122</v>
      </c>
      <c r="E161" s="181" t="s">
        <v>10</v>
      </c>
      <c r="F161" s="181"/>
      <c r="G161" s="71">
        <v>3</v>
      </c>
      <c r="H161" s="68">
        <v>0</v>
      </c>
    </row>
    <row r="162" spans="1:8" ht="14.5" x14ac:dyDescent="0.35">
      <c r="A162" s="1" t="s">
        <v>359</v>
      </c>
      <c r="B162" s="2" t="s">
        <v>10</v>
      </c>
      <c r="C162" s="2" t="s">
        <v>360</v>
      </c>
      <c r="D162" s="181" t="s">
        <v>231</v>
      </c>
      <c r="E162" s="181" t="s">
        <v>10</v>
      </c>
      <c r="F162" s="181"/>
      <c r="G162" s="71">
        <v>33</v>
      </c>
      <c r="H162" s="68">
        <v>0</v>
      </c>
    </row>
    <row r="163" spans="1:8" ht="14.5" x14ac:dyDescent="0.35">
      <c r="A163" s="1" t="s">
        <v>362</v>
      </c>
      <c r="B163" s="2" t="s">
        <v>10</v>
      </c>
      <c r="C163" s="2" t="s">
        <v>363</v>
      </c>
      <c r="D163" s="181" t="s">
        <v>118</v>
      </c>
      <c r="E163" s="181" t="s">
        <v>10</v>
      </c>
      <c r="F163" s="181"/>
      <c r="G163" s="71">
        <v>2</v>
      </c>
      <c r="H163" s="68">
        <v>0</v>
      </c>
    </row>
    <row r="164" spans="1:8" ht="14.5" x14ac:dyDescent="0.35">
      <c r="A164" s="1" t="s">
        <v>366</v>
      </c>
      <c r="B164" s="2" t="s">
        <v>10</v>
      </c>
      <c r="C164" s="2" t="s">
        <v>367</v>
      </c>
      <c r="D164" s="181" t="s">
        <v>118</v>
      </c>
      <c r="E164" s="181" t="s">
        <v>10</v>
      </c>
      <c r="F164" s="181"/>
      <c r="G164" s="71">
        <v>2</v>
      </c>
      <c r="H164" s="68">
        <v>0</v>
      </c>
    </row>
    <row r="165" spans="1:8" ht="14.5" x14ac:dyDescent="0.35">
      <c r="A165" s="1" t="s">
        <v>369</v>
      </c>
      <c r="B165" s="2" t="s">
        <v>10</v>
      </c>
      <c r="C165" s="2" t="s">
        <v>370</v>
      </c>
      <c r="D165" s="181" t="s">
        <v>118</v>
      </c>
      <c r="E165" s="181" t="s">
        <v>10</v>
      </c>
      <c r="F165" s="181"/>
      <c r="G165" s="71">
        <v>2</v>
      </c>
      <c r="H165" s="68">
        <v>0</v>
      </c>
    </row>
    <row r="166" spans="1:8" ht="14.5" x14ac:dyDescent="0.35">
      <c r="A166" s="1" t="s">
        <v>372</v>
      </c>
      <c r="B166" s="2" t="s">
        <v>10</v>
      </c>
      <c r="C166" s="2" t="s">
        <v>373</v>
      </c>
      <c r="D166" s="181" t="s">
        <v>158</v>
      </c>
      <c r="E166" s="181" t="s">
        <v>10</v>
      </c>
      <c r="F166" s="181"/>
      <c r="G166" s="71">
        <v>14</v>
      </c>
      <c r="H166" s="68">
        <v>0</v>
      </c>
    </row>
    <row r="167" spans="1:8" ht="14.5" x14ac:dyDescent="0.35">
      <c r="A167" s="1" t="s">
        <v>375</v>
      </c>
      <c r="B167" s="2" t="s">
        <v>10</v>
      </c>
      <c r="C167" s="2" t="s">
        <v>376</v>
      </c>
      <c r="D167" s="181" t="s">
        <v>1527</v>
      </c>
      <c r="E167" s="181" t="s">
        <v>10</v>
      </c>
      <c r="F167" s="181"/>
      <c r="G167" s="71">
        <v>4</v>
      </c>
      <c r="H167" s="68">
        <v>0</v>
      </c>
    </row>
    <row r="168" spans="1:8" ht="14.5" x14ac:dyDescent="0.35">
      <c r="A168" s="1" t="s">
        <v>378</v>
      </c>
      <c r="B168" s="2" t="s">
        <v>10</v>
      </c>
      <c r="C168" s="2" t="s">
        <v>379</v>
      </c>
      <c r="D168" s="181" t="s">
        <v>118</v>
      </c>
      <c r="E168" s="181" t="s">
        <v>10</v>
      </c>
      <c r="F168" s="181"/>
      <c r="G168" s="71">
        <v>2</v>
      </c>
      <c r="H168" s="68">
        <v>0</v>
      </c>
    </row>
    <row r="169" spans="1:8" ht="14.5" x14ac:dyDescent="0.35">
      <c r="A169" s="1" t="s">
        <v>381</v>
      </c>
      <c r="B169" s="2" t="s">
        <v>10</v>
      </c>
      <c r="C169" s="2" t="s">
        <v>382</v>
      </c>
      <c r="D169" s="181" t="s">
        <v>110</v>
      </c>
      <c r="E169" s="181" t="s">
        <v>10</v>
      </c>
      <c r="F169" s="181"/>
      <c r="G169" s="71">
        <v>1</v>
      </c>
      <c r="H169" s="68">
        <v>0</v>
      </c>
    </row>
    <row r="170" spans="1:8" ht="14.5" x14ac:dyDescent="0.35">
      <c r="A170" s="1" t="s">
        <v>384</v>
      </c>
      <c r="B170" s="2" t="s">
        <v>10</v>
      </c>
      <c r="C170" s="2" t="s">
        <v>385</v>
      </c>
      <c r="D170" s="181" t="s">
        <v>110</v>
      </c>
      <c r="E170" s="181" t="s">
        <v>10</v>
      </c>
      <c r="F170" s="181"/>
      <c r="G170" s="71">
        <v>1</v>
      </c>
      <c r="H170" s="68">
        <v>0</v>
      </c>
    </row>
    <row r="171" spans="1:8" ht="14.5" x14ac:dyDescent="0.35">
      <c r="A171" s="1" t="s">
        <v>387</v>
      </c>
      <c r="B171" s="2" t="s">
        <v>10</v>
      </c>
      <c r="C171" s="2" t="s">
        <v>388</v>
      </c>
      <c r="D171" s="181" t="s">
        <v>125</v>
      </c>
      <c r="E171" s="181" t="s">
        <v>10</v>
      </c>
      <c r="F171" s="181"/>
      <c r="G171" s="71">
        <v>4</v>
      </c>
      <c r="H171" s="68">
        <v>0</v>
      </c>
    </row>
    <row r="172" spans="1:8" ht="14.5" x14ac:dyDescent="0.35">
      <c r="A172" s="1" t="s">
        <v>390</v>
      </c>
      <c r="B172" s="2" t="s">
        <v>10</v>
      </c>
      <c r="C172" s="2" t="s">
        <v>391</v>
      </c>
      <c r="D172" s="181" t="s">
        <v>125</v>
      </c>
      <c r="E172" s="181" t="s">
        <v>10</v>
      </c>
      <c r="F172" s="181"/>
      <c r="G172" s="71">
        <v>4</v>
      </c>
      <c r="H172" s="68">
        <v>0</v>
      </c>
    </row>
    <row r="173" spans="1:8" ht="14.5" x14ac:dyDescent="0.35">
      <c r="A173" s="1" t="s">
        <v>393</v>
      </c>
      <c r="B173" s="2" t="s">
        <v>10</v>
      </c>
      <c r="C173" s="2" t="s">
        <v>394</v>
      </c>
      <c r="D173" s="181" t="s">
        <v>110</v>
      </c>
      <c r="E173" s="181" t="s">
        <v>10</v>
      </c>
      <c r="F173" s="181"/>
      <c r="G173" s="71">
        <v>1</v>
      </c>
      <c r="H173" s="68">
        <v>0</v>
      </c>
    </row>
    <row r="174" spans="1:8" ht="14.5" x14ac:dyDescent="0.35">
      <c r="A174" s="1" t="s">
        <v>396</v>
      </c>
      <c r="B174" s="2" t="s">
        <v>10</v>
      </c>
      <c r="C174" s="2" t="s">
        <v>397</v>
      </c>
      <c r="D174" s="181" t="s">
        <v>110</v>
      </c>
      <c r="E174" s="181" t="s">
        <v>10</v>
      </c>
      <c r="F174" s="181"/>
      <c r="G174" s="71">
        <v>1</v>
      </c>
      <c r="H174" s="68">
        <v>0</v>
      </c>
    </row>
    <row r="175" spans="1:8" ht="14.5" x14ac:dyDescent="0.35">
      <c r="A175" s="1" t="s">
        <v>399</v>
      </c>
      <c r="B175" s="2" t="s">
        <v>10</v>
      </c>
      <c r="C175" s="2" t="s">
        <v>400</v>
      </c>
      <c r="D175" s="181" t="s">
        <v>122</v>
      </c>
      <c r="E175" s="181" t="s">
        <v>10</v>
      </c>
      <c r="F175" s="181"/>
      <c r="G175" s="71">
        <v>3</v>
      </c>
      <c r="H175" s="68">
        <v>0</v>
      </c>
    </row>
    <row r="176" spans="1:8" ht="14.5" x14ac:dyDescent="0.35">
      <c r="A176" s="1" t="s">
        <v>402</v>
      </c>
      <c r="B176" s="2" t="s">
        <v>10</v>
      </c>
      <c r="C176" s="2" t="s">
        <v>403</v>
      </c>
      <c r="D176" s="181" t="s">
        <v>1528</v>
      </c>
      <c r="E176" s="181" t="s">
        <v>10</v>
      </c>
      <c r="F176" s="181"/>
      <c r="G176" s="71">
        <v>230</v>
      </c>
      <c r="H176" s="68">
        <v>0</v>
      </c>
    </row>
    <row r="177" spans="1:8" ht="14.5" x14ac:dyDescent="0.35">
      <c r="A177" s="1" t="s">
        <v>405</v>
      </c>
      <c r="B177" s="2" t="s">
        <v>10</v>
      </c>
      <c r="C177" s="2" t="s">
        <v>406</v>
      </c>
      <c r="D177" s="88" t="s">
        <v>407</v>
      </c>
      <c r="E177" s="88"/>
      <c r="F177" s="2" t="s">
        <v>121</v>
      </c>
      <c r="G177" s="53">
        <v>2</v>
      </c>
      <c r="H177" s="68">
        <v>0</v>
      </c>
    </row>
    <row r="178" spans="1:8" ht="14.5" x14ac:dyDescent="0.35">
      <c r="A178" s="69"/>
      <c r="D178" s="70" t="s">
        <v>110</v>
      </c>
      <c r="E178" s="180" t="s">
        <v>10</v>
      </c>
      <c r="F178" s="180"/>
      <c r="G178" s="71">
        <v>1</v>
      </c>
      <c r="H178" s="49"/>
    </row>
    <row r="179" spans="1:8" ht="14.5" x14ac:dyDescent="0.35">
      <c r="A179" s="1" t="s">
        <v>10</v>
      </c>
      <c r="B179" s="2" t="s">
        <v>10</v>
      </c>
      <c r="C179" s="2" t="s">
        <v>10</v>
      </c>
      <c r="D179" s="70" t="s">
        <v>110</v>
      </c>
      <c r="E179" s="180" t="s">
        <v>1529</v>
      </c>
      <c r="F179" s="180"/>
      <c r="G179" s="71">
        <v>1</v>
      </c>
      <c r="H179" s="72" t="s">
        <v>10</v>
      </c>
    </row>
    <row r="180" spans="1:8" ht="14.5" x14ac:dyDescent="0.35">
      <c r="A180" s="1" t="s">
        <v>408</v>
      </c>
      <c r="B180" s="2" t="s">
        <v>10</v>
      </c>
      <c r="C180" s="2" t="s">
        <v>409</v>
      </c>
      <c r="D180" s="181" t="s">
        <v>140</v>
      </c>
      <c r="E180" s="181" t="s">
        <v>10</v>
      </c>
      <c r="F180" s="181"/>
      <c r="G180" s="71">
        <v>8</v>
      </c>
      <c r="H180" s="68">
        <v>0</v>
      </c>
    </row>
    <row r="181" spans="1:8" ht="14.5" x14ac:dyDescent="0.35">
      <c r="A181" s="1" t="s">
        <v>411</v>
      </c>
      <c r="B181" s="2" t="s">
        <v>10</v>
      </c>
      <c r="C181" s="2" t="s">
        <v>412</v>
      </c>
      <c r="D181" s="181" t="s">
        <v>110</v>
      </c>
      <c r="E181" s="181" t="s">
        <v>10</v>
      </c>
      <c r="F181" s="181"/>
      <c r="G181" s="71">
        <v>1</v>
      </c>
      <c r="H181" s="68">
        <v>0</v>
      </c>
    </row>
    <row r="182" spans="1:8" ht="14.5" x14ac:dyDescent="0.35">
      <c r="A182" s="1" t="s">
        <v>415</v>
      </c>
      <c r="B182" s="2" t="s">
        <v>10</v>
      </c>
      <c r="C182" s="2" t="s">
        <v>416</v>
      </c>
      <c r="D182" s="181" t="s">
        <v>110</v>
      </c>
      <c r="E182" s="181" t="s">
        <v>10</v>
      </c>
      <c r="F182" s="181"/>
      <c r="G182" s="71">
        <v>1</v>
      </c>
      <c r="H182" s="68">
        <v>0</v>
      </c>
    </row>
    <row r="183" spans="1:8" ht="14.5" x14ac:dyDescent="0.35">
      <c r="A183" s="1" t="s">
        <v>418</v>
      </c>
      <c r="B183" s="2" t="s">
        <v>10</v>
      </c>
      <c r="C183" s="2" t="s">
        <v>419</v>
      </c>
      <c r="D183" s="181" t="s">
        <v>1530</v>
      </c>
      <c r="E183" s="181" t="s">
        <v>10</v>
      </c>
      <c r="F183" s="181"/>
      <c r="G183" s="71">
        <v>1.2</v>
      </c>
      <c r="H183" s="68">
        <v>0</v>
      </c>
    </row>
    <row r="184" spans="1:8" ht="14.5" x14ac:dyDescent="0.35">
      <c r="A184" s="1" t="s">
        <v>421</v>
      </c>
      <c r="B184" s="2" t="s">
        <v>10</v>
      </c>
      <c r="C184" s="2" t="s">
        <v>422</v>
      </c>
      <c r="D184" s="88" t="s">
        <v>423</v>
      </c>
      <c r="E184" s="88"/>
      <c r="F184" s="2" t="s">
        <v>424</v>
      </c>
      <c r="G184" s="53">
        <v>0</v>
      </c>
      <c r="H184" s="68">
        <v>0</v>
      </c>
    </row>
    <row r="185" spans="1:8" ht="14.5" x14ac:dyDescent="0.35">
      <c r="A185" s="73" t="s">
        <v>10</v>
      </c>
      <c r="B185" s="51" t="s">
        <v>10</v>
      </c>
      <c r="C185" s="51" t="s">
        <v>425</v>
      </c>
      <c r="D185" s="173" t="s">
        <v>426</v>
      </c>
      <c r="E185" s="173"/>
      <c r="F185" s="51" t="s">
        <v>10</v>
      </c>
      <c r="G185" s="36" t="s">
        <v>10</v>
      </c>
      <c r="H185" s="74" t="s">
        <v>10</v>
      </c>
    </row>
    <row r="186" spans="1:8" ht="14.5" x14ac:dyDescent="0.35">
      <c r="A186" s="1" t="s">
        <v>427</v>
      </c>
      <c r="B186" s="2" t="s">
        <v>10</v>
      </c>
      <c r="C186" s="2" t="s">
        <v>428</v>
      </c>
      <c r="D186" s="181" t="s">
        <v>1342</v>
      </c>
      <c r="E186" s="181" t="s">
        <v>1531</v>
      </c>
      <c r="F186" s="181"/>
      <c r="G186" s="71">
        <v>375</v>
      </c>
      <c r="H186" s="68">
        <v>0</v>
      </c>
    </row>
    <row r="187" spans="1:8" ht="14.5" x14ac:dyDescent="0.35">
      <c r="A187" s="1" t="s">
        <v>431</v>
      </c>
      <c r="B187" s="2" t="s">
        <v>10</v>
      </c>
      <c r="C187" s="2" t="s">
        <v>432</v>
      </c>
      <c r="D187" s="181" t="s">
        <v>148</v>
      </c>
      <c r="E187" s="181" t="s">
        <v>10</v>
      </c>
      <c r="F187" s="181"/>
      <c r="G187" s="71">
        <v>10</v>
      </c>
      <c r="H187" s="68">
        <v>0</v>
      </c>
    </row>
    <row r="188" spans="1:8" ht="14.5" x14ac:dyDescent="0.35">
      <c r="A188" s="1" t="s">
        <v>435</v>
      </c>
      <c r="B188" s="2" t="s">
        <v>10</v>
      </c>
      <c r="C188" s="2" t="s">
        <v>436</v>
      </c>
      <c r="D188" s="181" t="s">
        <v>721</v>
      </c>
      <c r="E188" s="181" t="s">
        <v>10</v>
      </c>
      <c r="F188" s="181"/>
      <c r="G188" s="71">
        <v>184</v>
      </c>
      <c r="H188" s="68">
        <v>0</v>
      </c>
    </row>
    <row r="189" spans="1:8" ht="14.5" x14ac:dyDescent="0.35">
      <c r="A189" s="1" t="s">
        <v>438</v>
      </c>
      <c r="B189" s="2" t="s">
        <v>10</v>
      </c>
      <c r="C189" s="2" t="s">
        <v>439</v>
      </c>
      <c r="D189" s="181" t="s">
        <v>492</v>
      </c>
      <c r="E189" s="181" t="s">
        <v>1531</v>
      </c>
      <c r="F189" s="181"/>
      <c r="G189" s="71">
        <v>111</v>
      </c>
      <c r="H189" s="68">
        <v>0</v>
      </c>
    </row>
    <row r="190" spans="1:8" ht="14.5" x14ac:dyDescent="0.35">
      <c r="A190" s="1" t="s">
        <v>441</v>
      </c>
      <c r="B190" s="2" t="s">
        <v>10</v>
      </c>
      <c r="C190" s="2" t="s">
        <v>442</v>
      </c>
      <c r="D190" s="181" t="s">
        <v>223</v>
      </c>
      <c r="E190" s="181" t="s">
        <v>1531</v>
      </c>
      <c r="F190" s="181"/>
      <c r="G190" s="71">
        <v>31</v>
      </c>
      <c r="H190" s="68">
        <v>0</v>
      </c>
    </row>
    <row r="191" spans="1:8" ht="14.5" x14ac:dyDescent="0.35">
      <c r="A191" s="1" t="s">
        <v>444</v>
      </c>
      <c r="B191" s="2" t="s">
        <v>10</v>
      </c>
      <c r="C191" s="2" t="s">
        <v>445</v>
      </c>
      <c r="D191" s="181" t="s">
        <v>153</v>
      </c>
      <c r="E191" s="181" t="s">
        <v>10</v>
      </c>
      <c r="F191" s="181"/>
      <c r="G191" s="71">
        <v>12</v>
      </c>
      <c r="H191" s="68">
        <v>0</v>
      </c>
    </row>
    <row r="192" spans="1:8" ht="14.5" x14ac:dyDescent="0.35">
      <c r="A192" s="1" t="s">
        <v>447</v>
      </c>
      <c r="B192" s="2" t="s">
        <v>10</v>
      </c>
      <c r="C192" s="2" t="s">
        <v>448</v>
      </c>
      <c r="D192" s="181" t="s">
        <v>244</v>
      </c>
      <c r="E192" s="181" t="s">
        <v>10</v>
      </c>
      <c r="F192" s="181"/>
      <c r="G192" s="71">
        <v>37</v>
      </c>
      <c r="H192" s="68">
        <v>0</v>
      </c>
    </row>
    <row r="193" spans="1:8" ht="14.5" x14ac:dyDescent="0.35">
      <c r="A193" s="1" t="s">
        <v>450</v>
      </c>
      <c r="B193" s="2" t="s">
        <v>10</v>
      </c>
      <c r="C193" s="2" t="s">
        <v>451</v>
      </c>
      <c r="D193" s="181" t="s">
        <v>244</v>
      </c>
      <c r="E193" s="181" t="s">
        <v>10</v>
      </c>
      <c r="F193" s="181"/>
      <c r="G193" s="71">
        <v>37</v>
      </c>
      <c r="H193" s="68">
        <v>0</v>
      </c>
    </row>
    <row r="194" spans="1:8" ht="14.5" x14ac:dyDescent="0.35">
      <c r="A194" s="1" t="s">
        <v>453</v>
      </c>
      <c r="B194" s="2" t="s">
        <v>10</v>
      </c>
      <c r="C194" s="2" t="s">
        <v>454</v>
      </c>
      <c r="D194" s="181" t="s">
        <v>153</v>
      </c>
      <c r="E194" s="181" t="s">
        <v>10</v>
      </c>
      <c r="F194" s="181"/>
      <c r="G194" s="71">
        <v>12</v>
      </c>
      <c r="H194" s="68">
        <v>0</v>
      </c>
    </row>
    <row r="195" spans="1:8" ht="14.5" x14ac:dyDescent="0.35">
      <c r="A195" s="1" t="s">
        <v>456</v>
      </c>
      <c r="B195" s="2" t="s">
        <v>10</v>
      </c>
      <c r="C195" s="2" t="s">
        <v>457</v>
      </c>
      <c r="D195" s="181" t="s">
        <v>223</v>
      </c>
      <c r="E195" s="181" t="s">
        <v>10</v>
      </c>
      <c r="F195" s="181"/>
      <c r="G195" s="71">
        <v>31</v>
      </c>
      <c r="H195" s="68">
        <v>0</v>
      </c>
    </row>
    <row r="196" spans="1:8" ht="14.5" x14ac:dyDescent="0.35">
      <c r="A196" s="1" t="s">
        <v>459</v>
      </c>
      <c r="B196" s="2" t="s">
        <v>10</v>
      </c>
      <c r="C196" s="2" t="s">
        <v>460</v>
      </c>
      <c r="D196" s="181" t="s">
        <v>492</v>
      </c>
      <c r="E196" s="181" t="s">
        <v>10</v>
      </c>
      <c r="F196" s="181"/>
      <c r="G196" s="71">
        <v>111</v>
      </c>
      <c r="H196" s="68">
        <v>0</v>
      </c>
    </row>
    <row r="197" spans="1:8" ht="14.5" x14ac:dyDescent="0.35">
      <c r="A197" s="1" t="s">
        <v>462</v>
      </c>
      <c r="B197" s="2" t="s">
        <v>10</v>
      </c>
      <c r="C197" s="2" t="s">
        <v>463</v>
      </c>
      <c r="D197" s="181" t="s">
        <v>721</v>
      </c>
      <c r="E197" s="181" t="s">
        <v>10</v>
      </c>
      <c r="F197" s="181"/>
      <c r="G197" s="71">
        <v>184</v>
      </c>
      <c r="H197" s="68">
        <v>0</v>
      </c>
    </row>
    <row r="198" spans="1:8" ht="14.5" x14ac:dyDescent="0.35">
      <c r="A198" s="1" t="s">
        <v>465</v>
      </c>
      <c r="B198" s="2" t="s">
        <v>10</v>
      </c>
      <c r="C198" s="2" t="s">
        <v>466</v>
      </c>
      <c r="D198" s="181" t="s">
        <v>1342</v>
      </c>
      <c r="E198" s="181" t="s">
        <v>10</v>
      </c>
      <c r="F198" s="181"/>
      <c r="G198" s="71">
        <v>375</v>
      </c>
      <c r="H198" s="68">
        <v>0</v>
      </c>
    </row>
    <row r="199" spans="1:8" ht="14.5" x14ac:dyDescent="0.35">
      <c r="A199" s="1" t="s">
        <v>468</v>
      </c>
      <c r="B199" s="2" t="s">
        <v>10</v>
      </c>
      <c r="C199" s="2" t="s">
        <v>469</v>
      </c>
      <c r="D199" s="181" t="s">
        <v>1342</v>
      </c>
      <c r="E199" s="181" t="s">
        <v>10</v>
      </c>
      <c r="F199" s="181"/>
      <c r="G199" s="71">
        <v>375</v>
      </c>
      <c r="H199" s="68">
        <v>0</v>
      </c>
    </row>
    <row r="200" spans="1:8" ht="14.5" x14ac:dyDescent="0.35">
      <c r="A200" s="1" t="s">
        <v>471</v>
      </c>
      <c r="B200" s="2" t="s">
        <v>10</v>
      </c>
      <c r="C200" s="2" t="s">
        <v>472</v>
      </c>
      <c r="D200" s="181" t="s">
        <v>110</v>
      </c>
      <c r="E200" s="181" t="s">
        <v>10</v>
      </c>
      <c r="F200" s="181"/>
      <c r="G200" s="71">
        <v>1</v>
      </c>
      <c r="H200" s="68">
        <v>0</v>
      </c>
    </row>
    <row r="201" spans="1:8" ht="14.5" x14ac:dyDescent="0.35">
      <c r="A201" s="1" t="s">
        <v>474</v>
      </c>
      <c r="B201" s="2" t="s">
        <v>10</v>
      </c>
      <c r="C201" s="2" t="s">
        <v>475</v>
      </c>
      <c r="D201" s="181" t="s">
        <v>1342</v>
      </c>
      <c r="E201" s="181" t="s">
        <v>10</v>
      </c>
      <c r="F201" s="181"/>
      <c r="G201" s="71">
        <v>375</v>
      </c>
      <c r="H201" s="68">
        <v>0</v>
      </c>
    </row>
    <row r="202" spans="1:8" ht="14.5" x14ac:dyDescent="0.35">
      <c r="A202" s="1" t="s">
        <v>477</v>
      </c>
      <c r="B202" s="2" t="s">
        <v>10</v>
      </c>
      <c r="C202" s="2" t="s">
        <v>478</v>
      </c>
      <c r="D202" s="181" t="s">
        <v>435</v>
      </c>
      <c r="E202" s="181" t="s">
        <v>10</v>
      </c>
      <c r="F202" s="181"/>
      <c r="G202" s="71">
        <v>92</v>
      </c>
      <c r="H202" s="68">
        <v>0</v>
      </c>
    </row>
    <row r="203" spans="1:8" ht="14.5" x14ac:dyDescent="0.35">
      <c r="A203" s="1" t="s">
        <v>480</v>
      </c>
      <c r="B203" s="2" t="s">
        <v>10</v>
      </c>
      <c r="C203" s="2" t="s">
        <v>481</v>
      </c>
      <c r="D203" s="181" t="s">
        <v>125</v>
      </c>
      <c r="E203" s="181" t="s">
        <v>10</v>
      </c>
      <c r="F203" s="181"/>
      <c r="G203" s="71">
        <v>4</v>
      </c>
      <c r="H203" s="68">
        <v>0</v>
      </c>
    </row>
    <row r="204" spans="1:8" ht="14.5" x14ac:dyDescent="0.35">
      <c r="A204" s="1" t="s">
        <v>483</v>
      </c>
      <c r="B204" s="2" t="s">
        <v>10</v>
      </c>
      <c r="C204" s="2" t="s">
        <v>484</v>
      </c>
      <c r="D204" s="181" t="s">
        <v>170</v>
      </c>
      <c r="E204" s="181" t="s">
        <v>10</v>
      </c>
      <c r="F204" s="181"/>
      <c r="G204" s="71">
        <v>17</v>
      </c>
      <c r="H204" s="68">
        <v>0</v>
      </c>
    </row>
    <row r="205" spans="1:8" ht="14.5" x14ac:dyDescent="0.35">
      <c r="A205" s="1" t="s">
        <v>486</v>
      </c>
      <c r="B205" s="2" t="s">
        <v>10</v>
      </c>
      <c r="C205" s="2" t="s">
        <v>487</v>
      </c>
      <c r="D205" s="181" t="s">
        <v>177</v>
      </c>
      <c r="E205" s="181" t="s">
        <v>10</v>
      </c>
      <c r="F205" s="181"/>
      <c r="G205" s="71">
        <v>19</v>
      </c>
      <c r="H205" s="68">
        <v>0</v>
      </c>
    </row>
    <row r="206" spans="1:8" ht="14.5" x14ac:dyDescent="0.35">
      <c r="A206" s="1" t="s">
        <v>489</v>
      </c>
      <c r="B206" s="2" t="s">
        <v>10</v>
      </c>
      <c r="C206" s="2" t="s">
        <v>490</v>
      </c>
      <c r="D206" s="181" t="s">
        <v>128</v>
      </c>
      <c r="E206" s="181" t="s">
        <v>10</v>
      </c>
      <c r="F206" s="181"/>
      <c r="G206" s="71">
        <v>5</v>
      </c>
      <c r="H206" s="68">
        <v>0</v>
      </c>
    </row>
    <row r="207" spans="1:8" ht="14.5" x14ac:dyDescent="0.35">
      <c r="A207" s="1" t="s">
        <v>492</v>
      </c>
      <c r="B207" s="2" t="s">
        <v>10</v>
      </c>
      <c r="C207" s="2" t="s">
        <v>493</v>
      </c>
      <c r="D207" s="181" t="s">
        <v>118</v>
      </c>
      <c r="E207" s="181" t="s">
        <v>10</v>
      </c>
      <c r="F207" s="181"/>
      <c r="G207" s="71">
        <v>2</v>
      </c>
      <c r="H207" s="68">
        <v>0</v>
      </c>
    </row>
    <row r="208" spans="1:8" ht="14.5" x14ac:dyDescent="0.35">
      <c r="A208" s="1" t="s">
        <v>495</v>
      </c>
      <c r="B208" s="2" t="s">
        <v>10</v>
      </c>
      <c r="C208" s="2" t="s">
        <v>496</v>
      </c>
      <c r="D208" s="181" t="s">
        <v>431</v>
      </c>
      <c r="E208" s="181" t="s">
        <v>10</v>
      </c>
      <c r="F208" s="181"/>
      <c r="G208" s="71">
        <v>91</v>
      </c>
      <c r="H208" s="68">
        <v>0</v>
      </c>
    </row>
    <row r="209" spans="1:8" ht="14.5" x14ac:dyDescent="0.35">
      <c r="A209" s="1" t="s">
        <v>498</v>
      </c>
      <c r="B209" s="2" t="s">
        <v>10</v>
      </c>
      <c r="C209" s="2" t="s">
        <v>499</v>
      </c>
      <c r="D209" s="181" t="s">
        <v>108</v>
      </c>
      <c r="E209" s="181" t="s">
        <v>10</v>
      </c>
      <c r="F209" s="181"/>
      <c r="G209" s="71">
        <v>11</v>
      </c>
      <c r="H209" s="68">
        <v>0</v>
      </c>
    </row>
    <row r="210" spans="1:8" ht="14.5" x14ac:dyDescent="0.35">
      <c r="A210" s="73" t="s">
        <v>10</v>
      </c>
      <c r="B210" s="51" t="s">
        <v>10</v>
      </c>
      <c r="C210" s="51" t="s">
        <v>502</v>
      </c>
      <c r="D210" s="173" t="s">
        <v>503</v>
      </c>
      <c r="E210" s="173"/>
      <c r="F210" s="51" t="s">
        <v>10</v>
      </c>
      <c r="G210" s="36" t="s">
        <v>10</v>
      </c>
      <c r="H210" s="74" t="s">
        <v>10</v>
      </c>
    </row>
    <row r="211" spans="1:8" ht="14.5" x14ac:dyDescent="0.35">
      <c r="A211" s="1" t="s">
        <v>504</v>
      </c>
      <c r="B211" s="2" t="s">
        <v>10</v>
      </c>
      <c r="C211" s="2" t="s">
        <v>505</v>
      </c>
      <c r="D211" s="181" t="s">
        <v>122</v>
      </c>
      <c r="E211" s="181" t="s">
        <v>10</v>
      </c>
      <c r="F211" s="181"/>
      <c r="G211" s="71">
        <v>3</v>
      </c>
      <c r="H211" s="68">
        <v>0</v>
      </c>
    </row>
    <row r="212" spans="1:8" ht="14.5" x14ac:dyDescent="0.35">
      <c r="A212" s="1" t="s">
        <v>508</v>
      </c>
      <c r="B212" s="2" t="s">
        <v>10</v>
      </c>
      <c r="C212" s="2" t="s">
        <v>509</v>
      </c>
      <c r="D212" s="181" t="s">
        <v>140</v>
      </c>
      <c r="E212" s="181" t="s">
        <v>10</v>
      </c>
      <c r="F212" s="181"/>
      <c r="G212" s="71">
        <v>8</v>
      </c>
      <c r="H212" s="68">
        <v>0</v>
      </c>
    </row>
    <row r="213" spans="1:8" ht="14.5" x14ac:dyDescent="0.35">
      <c r="A213" s="1" t="s">
        <v>511</v>
      </c>
      <c r="B213" s="2" t="s">
        <v>10</v>
      </c>
      <c r="C213" s="2" t="s">
        <v>512</v>
      </c>
      <c r="D213" s="181" t="s">
        <v>187</v>
      </c>
      <c r="E213" s="181" t="s">
        <v>10</v>
      </c>
      <c r="F213" s="181"/>
      <c r="G213" s="71">
        <v>22</v>
      </c>
      <c r="H213" s="68">
        <v>0</v>
      </c>
    </row>
    <row r="214" spans="1:8" ht="14.5" x14ac:dyDescent="0.35">
      <c r="A214" s="1" t="s">
        <v>514</v>
      </c>
      <c r="B214" s="2" t="s">
        <v>10</v>
      </c>
      <c r="C214" s="2" t="s">
        <v>515</v>
      </c>
      <c r="D214" s="181" t="s">
        <v>231</v>
      </c>
      <c r="E214" s="181" t="s">
        <v>10</v>
      </c>
      <c r="F214" s="181"/>
      <c r="G214" s="71">
        <v>33</v>
      </c>
      <c r="H214" s="68">
        <v>0</v>
      </c>
    </row>
    <row r="215" spans="1:8" ht="14.5" x14ac:dyDescent="0.35">
      <c r="A215" s="1" t="s">
        <v>517</v>
      </c>
      <c r="B215" s="2" t="s">
        <v>10</v>
      </c>
      <c r="C215" s="2" t="s">
        <v>518</v>
      </c>
      <c r="D215" s="181" t="s">
        <v>125</v>
      </c>
      <c r="E215" s="181" t="s">
        <v>10</v>
      </c>
      <c r="F215" s="181"/>
      <c r="G215" s="71">
        <v>4</v>
      </c>
      <c r="H215" s="68">
        <v>0</v>
      </c>
    </row>
    <row r="216" spans="1:8" ht="14.5" x14ac:dyDescent="0.35">
      <c r="A216" s="1" t="s">
        <v>520</v>
      </c>
      <c r="B216" s="2" t="s">
        <v>10</v>
      </c>
      <c r="C216" s="2" t="s">
        <v>521</v>
      </c>
      <c r="D216" s="181" t="s">
        <v>128</v>
      </c>
      <c r="E216" s="181" t="s">
        <v>10</v>
      </c>
      <c r="F216" s="181"/>
      <c r="G216" s="71">
        <v>5</v>
      </c>
      <c r="H216" s="68">
        <v>0</v>
      </c>
    </row>
    <row r="217" spans="1:8" ht="14.5" x14ac:dyDescent="0.35">
      <c r="A217" s="1" t="s">
        <v>523</v>
      </c>
      <c r="B217" s="2" t="s">
        <v>10</v>
      </c>
      <c r="C217" s="2" t="s">
        <v>524</v>
      </c>
      <c r="D217" s="181" t="s">
        <v>122</v>
      </c>
      <c r="E217" s="181" t="s">
        <v>10</v>
      </c>
      <c r="F217" s="181"/>
      <c r="G217" s="71">
        <v>3</v>
      </c>
      <c r="H217" s="68">
        <v>0</v>
      </c>
    </row>
    <row r="218" spans="1:8" ht="14.5" x14ac:dyDescent="0.35">
      <c r="A218" s="1" t="s">
        <v>526</v>
      </c>
      <c r="B218" s="2" t="s">
        <v>10</v>
      </c>
      <c r="C218" s="2" t="s">
        <v>527</v>
      </c>
      <c r="D218" s="181" t="s">
        <v>122</v>
      </c>
      <c r="E218" s="181" t="s">
        <v>10</v>
      </c>
      <c r="F218" s="181"/>
      <c r="G218" s="71">
        <v>3</v>
      </c>
      <c r="H218" s="68">
        <v>0</v>
      </c>
    </row>
    <row r="219" spans="1:8" ht="14.5" x14ac:dyDescent="0.35">
      <c r="A219" s="1" t="s">
        <v>529</v>
      </c>
      <c r="B219" s="2" t="s">
        <v>10</v>
      </c>
      <c r="C219" s="2" t="s">
        <v>530</v>
      </c>
      <c r="D219" s="181" t="s">
        <v>122</v>
      </c>
      <c r="E219" s="181" t="s">
        <v>10</v>
      </c>
      <c r="F219" s="181"/>
      <c r="G219" s="71">
        <v>3</v>
      </c>
      <c r="H219" s="68">
        <v>0</v>
      </c>
    </row>
    <row r="220" spans="1:8" ht="14.5" x14ac:dyDescent="0.35">
      <c r="A220" s="1" t="s">
        <v>532</v>
      </c>
      <c r="B220" s="2" t="s">
        <v>10</v>
      </c>
      <c r="C220" s="2" t="s">
        <v>533</v>
      </c>
      <c r="D220" s="181" t="s">
        <v>128</v>
      </c>
      <c r="E220" s="181" t="s">
        <v>10</v>
      </c>
      <c r="F220" s="181"/>
      <c r="G220" s="71">
        <v>5</v>
      </c>
      <c r="H220" s="68">
        <v>0</v>
      </c>
    </row>
    <row r="221" spans="1:8" ht="14.5" x14ac:dyDescent="0.35">
      <c r="A221" s="1" t="s">
        <v>535</v>
      </c>
      <c r="B221" s="2" t="s">
        <v>10</v>
      </c>
      <c r="C221" s="2" t="s">
        <v>536</v>
      </c>
      <c r="D221" s="181" t="s">
        <v>122</v>
      </c>
      <c r="E221" s="181" t="s">
        <v>10</v>
      </c>
      <c r="F221" s="181"/>
      <c r="G221" s="71">
        <v>3</v>
      </c>
      <c r="H221" s="68">
        <v>0</v>
      </c>
    </row>
    <row r="222" spans="1:8" ht="14.5" x14ac:dyDescent="0.35">
      <c r="A222" s="1" t="s">
        <v>538</v>
      </c>
      <c r="B222" s="2" t="s">
        <v>10</v>
      </c>
      <c r="C222" s="2" t="s">
        <v>539</v>
      </c>
      <c r="D222" s="181" t="s">
        <v>122</v>
      </c>
      <c r="E222" s="181" t="s">
        <v>10</v>
      </c>
      <c r="F222" s="181"/>
      <c r="G222" s="71">
        <v>3</v>
      </c>
      <c r="H222" s="68">
        <v>0</v>
      </c>
    </row>
    <row r="223" spans="1:8" ht="14.5" x14ac:dyDescent="0.35">
      <c r="A223" s="1" t="s">
        <v>541</v>
      </c>
      <c r="B223" s="2" t="s">
        <v>10</v>
      </c>
      <c r="C223" s="2" t="s">
        <v>542</v>
      </c>
      <c r="D223" s="181" t="s">
        <v>110</v>
      </c>
      <c r="E223" s="181" t="s">
        <v>10</v>
      </c>
      <c r="F223" s="181"/>
      <c r="G223" s="71">
        <v>1</v>
      </c>
      <c r="H223" s="68">
        <v>0</v>
      </c>
    </row>
    <row r="224" spans="1:8" ht="14.5" x14ac:dyDescent="0.35">
      <c r="A224" s="73" t="s">
        <v>10</v>
      </c>
      <c r="B224" s="51" t="s">
        <v>10</v>
      </c>
      <c r="C224" s="51" t="s">
        <v>544</v>
      </c>
      <c r="D224" s="173" t="s">
        <v>545</v>
      </c>
      <c r="E224" s="173"/>
      <c r="F224" s="51" t="s">
        <v>10</v>
      </c>
      <c r="G224" s="36" t="s">
        <v>10</v>
      </c>
      <c r="H224" s="74" t="s">
        <v>10</v>
      </c>
    </row>
    <row r="225" spans="1:8" ht="14.5" x14ac:dyDescent="0.35">
      <c r="A225" s="1" t="s">
        <v>546</v>
      </c>
      <c r="B225" s="2" t="s">
        <v>10</v>
      </c>
      <c r="C225" s="2" t="s">
        <v>547</v>
      </c>
      <c r="D225" s="181" t="s">
        <v>125</v>
      </c>
      <c r="E225" s="181" t="s">
        <v>10</v>
      </c>
      <c r="F225" s="181"/>
      <c r="G225" s="71">
        <v>4</v>
      </c>
      <c r="H225" s="68">
        <v>0</v>
      </c>
    </row>
    <row r="226" spans="1:8" ht="14.5" x14ac:dyDescent="0.35">
      <c r="A226" s="73" t="s">
        <v>10</v>
      </c>
      <c r="B226" s="51" t="s">
        <v>10</v>
      </c>
      <c r="C226" s="51" t="s">
        <v>550</v>
      </c>
      <c r="D226" s="173" t="s">
        <v>551</v>
      </c>
      <c r="E226" s="173"/>
      <c r="F226" s="51" t="s">
        <v>10</v>
      </c>
      <c r="G226" s="36" t="s">
        <v>10</v>
      </c>
      <c r="H226" s="74" t="s">
        <v>10</v>
      </c>
    </row>
    <row r="227" spans="1:8" ht="14.5" x14ac:dyDescent="0.35">
      <c r="A227" s="1" t="s">
        <v>552</v>
      </c>
      <c r="B227" s="2" t="s">
        <v>10</v>
      </c>
      <c r="C227" s="2" t="s">
        <v>553</v>
      </c>
      <c r="D227" s="181" t="s">
        <v>110</v>
      </c>
      <c r="E227" s="181" t="s">
        <v>10</v>
      </c>
      <c r="F227" s="181"/>
      <c r="G227" s="71">
        <v>1</v>
      </c>
      <c r="H227" s="68">
        <v>0</v>
      </c>
    </row>
    <row r="228" spans="1:8" ht="14.5" x14ac:dyDescent="0.35">
      <c r="A228" s="1" t="s">
        <v>556</v>
      </c>
      <c r="B228" s="2" t="s">
        <v>10</v>
      </c>
      <c r="C228" s="2" t="s">
        <v>557</v>
      </c>
      <c r="D228" s="181" t="s">
        <v>125</v>
      </c>
      <c r="E228" s="181" t="s">
        <v>10</v>
      </c>
      <c r="F228" s="181"/>
      <c r="G228" s="71">
        <v>4</v>
      </c>
      <c r="H228" s="68">
        <v>0</v>
      </c>
    </row>
    <row r="229" spans="1:8" ht="14.5" x14ac:dyDescent="0.35">
      <c r="A229" s="1" t="s">
        <v>559</v>
      </c>
      <c r="B229" s="2" t="s">
        <v>10</v>
      </c>
      <c r="C229" s="2" t="s">
        <v>560</v>
      </c>
      <c r="D229" s="181" t="s">
        <v>118</v>
      </c>
      <c r="E229" s="181" t="s">
        <v>10</v>
      </c>
      <c r="F229" s="181"/>
      <c r="G229" s="71">
        <v>2</v>
      </c>
      <c r="H229" s="68">
        <v>0</v>
      </c>
    </row>
    <row r="230" spans="1:8" ht="14.5" x14ac:dyDescent="0.35">
      <c r="A230" s="1" t="s">
        <v>562</v>
      </c>
      <c r="B230" s="2" t="s">
        <v>10</v>
      </c>
      <c r="C230" s="2" t="s">
        <v>563</v>
      </c>
      <c r="D230" s="181" t="s">
        <v>110</v>
      </c>
      <c r="E230" s="181" t="s">
        <v>10</v>
      </c>
      <c r="F230" s="181"/>
      <c r="G230" s="71">
        <v>1</v>
      </c>
      <c r="H230" s="68">
        <v>0</v>
      </c>
    </row>
    <row r="231" spans="1:8" ht="14.5" x14ac:dyDescent="0.35">
      <c r="A231" s="1" t="s">
        <v>565</v>
      </c>
      <c r="B231" s="2" t="s">
        <v>10</v>
      </c>
      <c r="C231" s="2" t="s">
        <v>566</v>
      </c>
      <c r="D231" s="181" t="s">
        <v>110</v>
      </c>
      <c r="E231" s="181" t="s">
        <v>10</v>
      </c>
      <c r="F231" s="181"/>
      <c r="G231" s="71">
        <v>1</v>
      </c>
      <c r="H231" s="68">
        <v>0</v>
      </c>
    </row>
    <row r="232" spans="1:8" ht="14.5" x14ac:dyDescent="0.35">
      <c r="A232" s="1" t="s">
        <v>568</v>
      </c>
      <c r="B232" s="2" t="s">
        <v>10</v>
      </c>
      <c r="C232" s="2" t="s">
        <v>569</v>
      </c>
      <c r="D232" s="181" t="s">
        <v>153</v>
      </c>
      <c r="E232" s="181" t="s">
        <v>10</v>
      </c>
      <c r="F232" s="181"/>
      <c r="G232" s="71">
        <v>12</v>
      </c>
      <c r="H232" s="68">
        <v>0</v>
      </c>
    </row>
    <row r="233" spans="1:8" ht="14.5" x14ac:dyDescent="0.35">
      <c r="A233" s="1" t="s">
        <v>571</v>
      </c>
      <c r="B233" s="2" t="s">
        <v>10</v>
      </c>
      <c r="C233" s="2" t="s">
        <v>572</v>
      </c>
      <c r="D233" s="181" t="s">
        <v>128</v>
      </c>
      <c r="E233" s="181" t="s">
        <v>10</v>
      </c>
      <c r="F233" s="181"/>
      <c r="G233" s="71">
        <v>5</v>
      </c>
      <c r="H233" s="68">
        <v>0</v>
      </c>
    </row>
    <row r="234" spans="1:8" ht="14.5" x14ac:dyDescent="0.35">
      <c r="A234" s="1" t="s">
        <v>574</v>
      </c>
      <c r="B234" s="2" t="s">
        <v>10</v>
      </c>
      <c r="C234" s="2" t="s">
        <v>572</v>
      </c>
      <c r="D234" s="181" t="s">
        <v>1532</v>
      </c>
      <c r="E234" s="181" t="s">
        <v>10</v>
      </c>
      <c r="F234" s="181"/>
      <c r="G234" s="71">
        <v>4</v>
      </c>
      <c r="H234" s="68">
        <v>0</v>
      </c>
    </row>
    <row r="235" spans="1:8" ht="14.5" x14ac:dyDescent="0.35">
      <c r="A235" s="1" t="s">
        <v>576</v>
      </c>
      <c r="B235" s="2" t="s">
        <v>10</v>
      </c>
      <c r="C235" s="2" t="s">
        <v>577</v>
      </c>
      <c r="D235" s="181" t="s">
        <v>815</v>
      </c>
      <c r="E235" s="181" t="s">
        <v>10</v>
      </c>
      <c r="F235" s="181"/>
      <c r="G235" s="71">
        <v>212</v>
      </c>
      <c r="H235" s="68">
        <v>0</v>
      </c>
    </row>
    <row r="236" spans="1:8" ht="14.5" x14ac:dyDescent="0.35">
      <c r="A236" s="1" t="s">
        <v>579</v>
      </c>
      <c r="B236" s="2" t="s">
        <v>10</v>
      </c>
      <c r="C236" s="2" t="s">
        <v>580</v>
      </c>
      <c r="D236" s="181" t="s">
        <v>131</v>
      </c>
      <c r="E236" s="181" t="s">
        <v>10</v>
      </c>
      <c r="F236" s="181"/>
      <c r="G236" s="71">
        <v>6</v>
      </c>
      <c r="H236" s="68">
        <v>0</v>
      </c>
    </row>
    <row r="237" spans="1:8" ht="14.5" x14ac:dyDescent="0.35">
      <c r="A237" s="1" t="s">
        <v>582</v>
      </c>
      <c r="B237" s="2" t="s">
        <v>10</v>
      </c>
      <c r="C237" s="2" t="s">
        <v>583</v>
      </c>
      <c r="D237" s="181" t="s">
        <v>131</v>
      </c>
      <c r="E237" s="181" t="s">
        <v>10</v>
      </c>
      <c r="F237" s="181"/>
      <c r="G237" s="71">
        <v>6</v>
      </c>
      <c r="H237" s="68">
        <v>0</v>
      </c>
    </row>
    <row r="238" spans="1:8" ht="14.5" x14ac:dyDescent="0.35">
      <c r="A238" s="1" t="s">
        <v>585</v>
      </c>
      <c r="B238" s="2" t="s">
        <v>10</v>
      </c>
      <c r="C238" s="2" t="s">
        <v>586</v>
      </c>
      <c r="D238" s="181" t="s">
        <v>174</v>
      </c>
      <c r="E238" s="181" t="s">
        <v>10</v>
      </c>
      <c r="F238" s="181"/>
      <c r="G238" s="71">
        <v>18</v>
      </c>
      <c r="H238" s="68">
        <v>0</v>
      </c>
    </row>
    <row r="239" spans="1:8" ht="14.5" x14ac:dyDescent="0.35">
      <c r="A239" s="1" t="s">
        <v>588</v>
      </c>
      <c r="B239" s="2" t="s">
        <v>10</v>
      </c>
      <c r="C239" s="2" t="s">
        <v>589</v>
      </c>
      <c r="D239" s="181" t="s">
        <v>228</v>
      </c>
      <c r="E239" s="181" t="s">
        <v>10</v>
      </c>
      <c r="F239" s="181"/>
      <c r="G239" s="71">
        <v>32</v>
      </c>
      <c r="H239" s="68">
        <v>0</v>
      </c>
    </row>
    <row r="240" spans="1:8" ht="14.5" x14ac:dyDescent="0.35">
      <c r="A240" s="1" t="s">
        <v>591</v>
      </c>
      <c r="B240" s="2" t="s">
        <v>10</v>
      </c>
      <c r="C240" s="2" t="s">
        <v>592</v>
      </c>
      <c r="D240" s="181" t="s">
        <v>174</v>
      </c>
      <c r="E240" s="181" t="s">
        <v>10</v>
      </c>
      <c r="F240" s="181"/>
      <c r="G240" s="71">
        <v>18</v>
      </c>
      <c r="H240" s="68">
        <v>0</v>
      </c>
    </row>
    <row r="241" spans="1:8" ht="14.5" x14ac:dyDescent="0.35">
      <c r="A241" s="1" t="s">
        <v>594</v>
      </c>
      <c r="B241" s="2" t="s">
        <v>10</v>
      </c>
      <c r="C241" s="2" t="s">
        <v>595</v>
      </c>
      <c r="D241" s="181" t="s">
        <v>153</v>
      </c>
      <c r="E241" s="181" t="s">
        <v>10</v>
      </c>
      <c r="F241" s="181"/>
      <c r="G241" s="71">
        <v>12</v>
      </c>
      <c r="H241" s="68">
        <v>0</v>
      </c>
    </row>
    <row r="242" spans="1:8" ht="14.5" x14ac:dyDescent="0.35">
      <c r="A242" s="1" t="s">
        <v>597</v>
      </c>
      <c r="B242" s="2" t="s">
        <v>10</v>
      </c>
      <c r="C242" s="2" t="s">
        <v>598</v>
      </c>
      <c r="D242" s="181" t="s">
        <v>134</v>
      </c>
      <c r="E242" s="181" t="s">
        <v>10</v>
      </c>
      <c r="F242" s="181"/>
      <c r="G242" s="71">
        <v>7</v>
      </c>
      <c r="H242" s="68">
        <v>0</v>
      </c>
    </row>
    <row r="243" spans="1:8" ht="14.5" x14ac:dyDescent="0.35">
      <c r="A243" s="1" t="s">
        <v>600</v>
      </c>
      <c r="B243" s="2" t="s">
        <v>10</v>
      </c>
      <c r="C243" s="2" t="s">
        <v>598</v>
      </c>
      <c r="D243" s="181" t="s">
        <v>131</v>
      </c>
      <c r="E243" s="181" t="s">
        <v>10</v>
      </c>
      <c r="F243" s="181"/>
      <c r="G243" s="71">
        <v>6</v>
      </c>
      <c r="H243" s="68">
        <v>0</v>
      </c>
    </row>
    <row r="244" spans="1:8" ht="14.5" x14ac:dyDescent="0.35">
      <c r="A244" s="1" t="s">
        <v>602</v>
      </c>
      <c r="B244" s="2" t="s">
        <v>10</v>
      </c>
      <c r="C244" s="2" t="s">
        <v>603</v>
      </c>
      <c r="D244" s="181" t="s">
        <v>148</v>
      </c>
      <c r="E244" s="181" t="s">
        <v>10</v>
      </c>
      <c r="F244" s="181"/>
      <c r="G244" s="71">
        <v>10</v>
      </c>
      <c r="H244" s="68">
        <v>0</v>
      </c>
    </row>
    <row r="245" spans="1:8" ht="14.5" x14ac:dyDescent="0.35">
      <c r="A245" s="1" t="s">
        <v>605</v>
      </c>
      <c r="B245" s="2" t="s">
        <v>10</v>
      </c>
      <c r="C245" s="2" t="s">
        <v>606</v>
      </c>
      <c r="D245" s="88" t="s">
        <v>607</v>
      </c>
      <c r="E245" s="88"/>
      <c r="F245" s="2" t="s">
        <v>434</v>
      </c>
      <c r="G245" s="53">
        <v>40</v>
      </c>
      <c r="H245" s="68">
        <v>0</v>
      </c>
    </row>
    <row r="246" spans="1:8" ht="14.5" x14ac:dyDescent="0.35">
      <c r="A246" s="69"/>
      <c r="D246" s="70" t="s">
        <v>180</v>
      </c>
      <c r="E246" s="180" t="s">
        <v>10</v>
      </c>
      <c r="F246" s="180"/>
      <c r="G246" s="71">
        <v>20</v>
      </c>
      <c r="H246" s="49"/>
    </row>
    <row r="247" spans="1:8" ht="14.5" x14ac:dyDescent="0.35">
      <c r="A247" s="1" t="s">
        <v>10</v>
      </c>
      <c r="B247" s="2" t="s">
        <v>10</v>
      </c>
      <c r="C247" s="2" t="s">
        <v>10</v>
      </c>
      <c r="D247" s="70" t="s">
        <v>148</v>
      </c>
      <c r="E247" s="180" t="s">
        <v>1533</v>
      </c>
      <c r="F247" s="180"/>
      <c r="G247" s="71">
        <v>10</v>
      </c>
      <c r="H247" s="72" t="s">
        <v>10</v>
      </c>
    </row>
    <row r="248" spans="1:8" ht="14.5" x14ac:dyDescent="0.35">
      <c r="A248" s="1" t="s">
        <v>10</v>
      </c>
      <c r="B248" s="2" t="s">
        <v>10</v>
      </c>
      <c r="C248" s="2" t="s">
        <v>10</v>
      </c>
      <c r="D248" s="70" t="s">
        <v>148</v>
      </c>
      <c r="E248" s="180" t="s">
        <v>1534</v>
      </c>
      <c r="F248" s="180"/>
      <c r="G248" s="71">
        <v>10</v>
      </c>
      <c r="H248" s="72" t="s">
        <v>10</v>
      </c>
    </row>
    <row r="249" spans="1:8" ht="14.5" x14ac:dyDescent="0.35">
      <c r="A249" s="1" t="s">
        <v>608</v>
      </c>
      <c r="B249" s="2" t="s">
        <v>10</v>
      </c>
      <c r="C249" s="2" t="s">
        <v>609</v>
      </c>
      <c r="D249" s="181" t="s">
        <v>140</v>
      </c>
      <c r="E249" s="181" t="s">
        <v>10</v>
      </c>
      <c r="F249" s="181"/>
      <c r="G249" s="71">
        <v>8</v>
      </c>
      <c r="H249" s="68">
        <v>0</v>
      </c>
    </row>
    <row r="250" spans="1:8" ht="14.5" x14ac:dyDescent="0.35">
      <c r="A250" s="1" t="s">
        <v>611</v>
      </c>
      <c r="B250" s="2" t="s">
        <v>10</v>
      </c>
      <c r="C250" s="2" t="s">
        <v>612</v>
      </c>
      <c r="D250" s="181" t="s">
        <v>140</v>
      </c>
      <c r="E250" s="181" t="s">
        <v>10</v>
      </c>
      <c r="F250" s="181"/>
      <c r="G250" s="71">
        <v>8</v>
      </c>
      <c r="H250" s="68">
        <v>0</v>
      </c>
    </row>
    <row r="251" spans="1:8" ht="14.5" x14ac:dyDescent="0.35">
      <c r="A251" s="1" t="s">
        <v>614</v>
      </c>
      <c r="B251" s="2" t="s">
        <v>10</v>
      </c>
      <c r="C251" s="2" t="s">
        <v>615</v>
      </c>
      <c r="D251" s="181" t="s">
        <v>118</v>
      </c>
      <c r="E251" s="181" t="s">
        <v>10</v>
      </c>
      <c r="F251" s="181"/>
      <c r="G251" s="71">
        <v>2</v>
      </c>
      <c r="H251" s="68">
        <v>0</v>
      </c>
    </row>
    <row r="252" spans="1:8" ht="14.5" x14ac:dyDescent="0.35">
      <c r="A252" s="1" t="s">
        <v>617</v>
      </c>
      <c r="B252" s="2" t="s">
        <v>10</v>
      </c>
      <c r="C252" s="2" t="s">
        <v>618</v>
      </c>
      <c r="D252" s="181" t="s">
        <v>118</v>
      </c>
      <c r="E252" s="181" t="s">
        <v>10</v>
      </c>
      <c r="F252" s="181"/>
      <c r="G252" s="71">
        <v>2</v>
      </c>
      <c r="H252" s="68">
        <v>0</v>
      </c>
    </row>
    <row r="253" spans="1:8" ht="14.5" x14ac:dyDescent="0.35">
      <c r="A253" s="1" t="s">
        <v>620</v>
      </c>
      <c r="B253" s="2" t="s">
        <v>10</v>
      </c>
      <c r="C253" s="2" t="s">
        <v>621</v>
      </c>
      <c r="D253" s="181" t="s">
        <v>118</v>
      </c>
      <c r="E253" s="181" t="s">
        <v>10</v>
      </c>
      <c r="F253" s="181"/>
      <c r="G253" s="71">
        <v>2</v>
      </c>
      <c r="H253" s="68">
        <v>0</v>
      </c>
    </row>
    <row r="254" spans="1:8" ht="14.5" x14ac:dyDescent="0.35">
      <c r="A254" s="1" t="s">
        <v>623</v>
      </c>
      <c r="B254" s="2" t="s">
        <v>10</v>
      </c>
      <c r="C254" s="2" t="s">
        <v>624</v>
      </c>
      <c r="D254" s="181" t="s">
        <v>118</v>
      </c>
      <c r="E254" s="181" t="s">
        <v>10</v>
      </c>
      <c r="F254" s="181"/>
      <c r="G254" s="71">
        <v>2</v>
      </c>
      <c r="H254" s="68">
        <v>0</v>
      </c>
    </row>
    <row r="255" spans="1:8" ht="14.5" x14ac:dyDescent="0.35">
      <c r="A255" s="1" t="s">
        <v>626</v>
      </c>
      <c r="B255" s="2" t="s">
        <v>10</v>
      </c>
      <c r="C255" s="2" t="s">
        <v>627</v>
      </c>
      <c r="D255" s="181" t="s">
        <v>335</v>
      </c>
      <c r="E255" s="181" t="s">
        <v>10</v>
      </c>
      <c r="F255" s="181"/>
      <c r="G255" s="71">
        <v>60</v>
      </c>
      <c r="H255" s="68">
        <v>0</v>
      </c>
    </row>
    <row r="256" spans="1:8" ht="14.5" x14ac:dyDescent="0.35">
      <c r="A256" s="1" t="s">
        <v>629</v>
      </c>
      <c r="B256" s="2" t="s">
        <v>10</v>
      </c>
      <c r="C256" s="2" t="s">
        <v>630</v>
      </c>
      <c r="D256" s="88" t="s">
        <v>631</v>
      </c>
      <c r="E256" s="88"/>
      <c r="F256" s="2" t="s">
        <v>434</v>
      </c>
      <c r="G256" s="53">
        <v>2</v>
      </c>
      <c r="H256" s="68">
        <v>0</v>
      </c>
    </row>
    <row r="257" spans="1:8" ht="14.5" x14ac:dyDescent="0.35">
      <c r="A257" s="69"/>
      <c r="D257" s="70" t="s">
        <v>110</v>
      </c>
      <c r="E257" s="180" t="s">
        <v>10</v>
      </c>
      <c r="F257" s="180"/>
      <c r="G257" s="71">
        <v>1</v>
      </c>
      <c r="H257" s="49"/>
    </row>
    <row r="258" spans="1:8" ht="14.5" x14ac:dyDescent="0.35">
      <c r="A258" s="1" t="s">
        <v>10</v>
      </c>
      <c r="B258" s="2" t="s">
        <v>10</v>
      </c>
      <c r="C258" s="2" t="s">
        <v>10</v>
      </c>
      <c r="D258" s="70" t="s">
        <v>110</v>
      </c>
      <c r="E258" s="180" t="s">
        <v>10</v>
      </c>
      <c r="F258" s="180"/>
      <c r="G258" s="71">
        <v>1</v>
      </c>
      <c r="H258" s="72" t="s">
        <v>10</v>
      </c>
    </row>
    <row r="259" spans="1:8" ht="14.5" x14ac:dyDescent="0.35">
      <c r="A259" s="1" t="s">
        <v>632</v>
      </c>
      <c r="B259" s="2" t="s">
        <v>10</v>
      </c>
      <c r="C259" s="2" t="s">
        <v>583</v>
      </c>
      <c r="D259" s="181" t="s">
        <v>239</v>
      </c>
      <c r="E259" s="181" t="s">
        <v>10</v>
      </c>
      <c r="F259" s="181"/>
      <c r="G259" s="71">
        <v>36</v>
      </c>
      <c r="H259" s="68">
        <v>0</v>
      </c>
    </row>
    <row r="260" spans="1:8" ht="14.5" x14ac:dyDescent="0.35">
      <c r="A260" s="1" t="s">
        <v>634</v>
      </c>
      <c r="B260" s="2" t="s">
        <v>10</v>
      </c>
      <c r="C260" s="2" t="s">
        <v>580</v>
      </c>
      <c r="D260" s="88" t="s">
        <v>581</v>
      </c>
      <c r="E260" s="88"/>
      <c r="F260" s="2" t="s">
        <v>137</v>
      </c>
      <c r="G260" s="53">
        <v>54</v>
      </c>
      <c r="H260" s="68">
        <v>0</v>
      </c>
    </row>
    <row r="261" spans="1:8" ht="14.5" x14ac:dyDescent="0.35">
      <c r="A261" s="69"/>
      <c r="D261" s="70" t="s">
        <v>153</v>
      </c>
      <c r="E261" s="180" t="s">
        <v>10</v>
      </c>
      <c r="F261" s="180"/>
      <c r="G261" s="71">
        <v>12</v>
      </c>
      <c r="H261" s="49"/>
    </row>
    <row r="262" spans="1:8" ht="14.5" x14ac:dyDescent="0.35">
      <c r="A262" s="1" t="s">
        <v>10</v>
      </c>
      <c r="B262" s="2" t="s">
        <v>10</v>
      </c>
      <c r="C262" s="2" t="s">
        <v>10</v>
      </c>
      <c r="D262" s="70" t="s">
        <v>261</v>
      </c>
      <c r="E262" s="180" t="s">
        <v>10</v>
      </c>
      <c r="F262" s="180"/>
      <c r="G262" s="71">
        <v>42</v>
      </c>
      <c r="H262" s="72" t="s">
        <v>10</v>
      </c>
    </row>
    <row r="263" spans="1:8" ht="14.5" x14ac:dyDescent="0.35">
      <c r="A263" s="1" t="s">
        <v>635</v>
      </c>
      <c r="B263" s="2" t="s">
        <v>10</v>
      </c>
      <c r="C263" s="2" t="s">
        <v>586</v>
      </c>
      <c r="D263" s="88" t="s">
        <v>636</v>
      </c>
      <c r="E263" s="88"/>
      <c r="F263" s="2" t="s">
        <v>137</v>
      </c>
      <c r="G263" s="53">
        <v>96</v>
      </c>
      <c r="H263" s="68">
        <v>0</v>
      </c>
    </row>
    <row r="264" spans="1:8" ht="14.5" x14ac:dyDescent="0.35">
      <c r="A264" s="69"/>
      <c r="D264" s="70" t="s">
        <v>174</v>
      </c>
      <c r="E264" s="180" t="s">
        <v>775</v>
      </c>
      <c r="F264" s="180"/>
      <c r="G264" s="71">
        <v>18</v>
      </c>
      <c r="H264" s="49"/>
    </row>
    <row r="265" spans="1:8" ht="14.5" x14ac:dyDescent="0.35">
      <c r="A265" s="1" t="s">
        <v>10</v>
      </c>
      <c r="B265" s="2" t="s">
        <v>10</v>
      </c>
      <c r="C265" s="2" t="s">
        <v>10</v>
      </c>
      <c r="D265" s="70" t="s">
        <v>216</v>
      </c>
      <c r="E265" s="180" t="s">
        <v>942</v>
      </c>
      <c r="F265" s="180"/>
      <c r="G265" s="71">
        <v>30</v>
      </c>
      <c r="H265" s="72" t="s">
        <v>10</v>
      </c>
    </row>
    <row r="266" spans="1:8" ht="14.5" x14ac:dyDescent="0.35">
      <c r="A266" s="1" t="s">
        <v>10</v>
      </c>
      <c r="B266" s="2" t="s">
        <v>10</v>
      </c>
      <c r="C266" s="2" t="s">
        <v>10</v>
      </c>
      <c r="D266" s="70" t="s">
        <v>174</v>
      </c>
      <c r="E266" s="180" t="s">
        <v>775</v>
      </c>
      <c r="F266" s="180"/>
      <c r="G266" s="71">
        <v>18</v>
      </c>
      <c r="H266" s="72" t="s">
        <v>10</v>
      </c>
    </row>
    <row r="267" spans="1:8" ht="14.5" x14ac:dyDescent="0.35">
      <c r="A267" s="1" t="s">
        <v>10</v>
      </c>
      <c r="B267" s="2" t="s">
        <v>10</v>
      </c>
      <c r="C267" s="2" t="s">
        <v>10</v>
      </c>
      <c r="D267" s="70" t="s">
        <v>216</v>
      </c>
      <c r="E267" s="180" t="s">
        <v>942</v>
      </c>
      <c r="F267" s="180"/>
      <c r="G267" s="71">
        <v>30</v>
      </c>
      <c r="H267" s="72" t="s">
        <v>10</v>
      </c>
    </row>
    <row r="268" spans="1:8" ht="14.5" x14ac:dyDescent="0.35">
      <c r="A268" s="1" t="s">
        <v>637</v>
      </c>
      <c r="B268" s="2" t="s">
        <v>10</v>
      </c>
      <c r="C268" s="2" t="s">
        <v>638</v>
      </c>
      <c r="D268" s="88" t="s">
        <v>639</v>
      </c>
      <c r="E268" s="88"/>
      <c r="F268" s="2" t="s">
        <v>137</v>
      </c>
      <c r="G268" s="53">
        <v>28</v>
      </c>
      <c r="H268" s="68">
        <v>0</v>
      </c>
    </row>
    <row r="269" spans="1:8" ht="14.5" x14ac:dyDescent="0.35">
      <c r="A269" s="69"/>
      <c r="D269" s="70" t="s">
        <v>153</v>
      </c>
      <c r="E269" s="180" t="s">
        <v>538</v>
      </c>
      <c r="F269" s="180"/>
      <c r="G269" s="71">
        <v>12</v>
      </c>
      <c r="H269" s="49"/>
    </row>
    <row r="270" spans="1:8" ht="14.5" x14ac:dyDescent="0.35">
      <c r="A270" s="1" t="s">
        <v>10</v>
      </c>
      <c r="B270" s="2" t="s">
        <v>10</v>
      </c>
      <c r="C270" s="2" t="s">
        <v>10</v>
      </c>
      <c r="D270" s="70" t="s">
        <v>140</v>
      </c>
      <c r="E270" s="180" t="s">
        <v>942</v>
      </c>
      <c r="F270" s="180"/>
      <c r="G270" s="71">
        <v>8</v>
      </c>
      <c r="H270" s="72" t="s">
        <v>10</v>
      </c>
    </row>
    <row r="271" spans="1:8" ht="14.5" x14ac:dyDescent="0.35">
      <c r="A271" s="1" t="s">
        <v>10</v>
      </c>
      <c r="B271" s="2" t="s">
        <v>10</v>
      </c>
      <c r="C271" s="2" t="s">
        <v>10</v>
      </c>
      <c r="D271" s="70" t="s">
        <v>140</v>
      </c>
      <c r="E271" s="180" t="s">
        <v>942</v>
      </c>
      <c r="F271" s="180"/>
      <c r="G271" s="71">
        <v>8</v>
      </c>
      <c r="H271" s="72" t="s">
        <v>10</v>
      </c>
    </row>
    <row r="272" spans="1:8" ht="14.5" x14ac:dyDescent="0.35">
      <c r="A272" s="1" t="s">
        <v>640</v>
      </c>
      <c r="B272" s="2" t="s">
        <v>10</v>
      </c>
      <c r="C272" s="2" t="s">
        <v>641</v>
      </c>
      <c r="D272" s="181" t="s">
        <v>110</v>
      </c>
      <c r="E272" s="181" t="s">
        <v>10</v>
      </c>
      <c r="F272" s="181"/>
      <c r="G272" s="71">
        <v>1</v>
      </c>
      <c r="H272" s="68">
        <v>0</v>
      </c>
    </row>
    <row r="273" spans="1:8" ht="14.5" x14ac:dyDescent="0.35">
      <c r="A273" s="1" t="s">
        <v>643</v>
      </c>
      <c r="B273" s="2" t="s">
        <v>10</v>
      </c>
      <c r="C273" s="2" t="s">
        <v>612</v>
      </c>
      <c r="D273" s="88" t="s">
        <v>644</v>
      </c>
      <c r="E273" s="88"/>
      <c r="F273" s="2" t="s">
        <v>434</v>
      </c>
      <c r="G273" s="53">
        <v>10</v>
      </c>
      <c r="H273" s="68">
        <v>0</v>
      </c>
    </row>
    <row r="274" spans="1:8" ht="14.5" x14ac:dyDescent="0.35">
      <c r="A274" s="69"/>
      <c r="D274" s="70" t="s">
        <v>140</v>
      </c>
      <c r="E274" s="180" t="s">
        <v>1535</v>
      </c>
      <c r="F274" s="180"/>
      <c r="G274" s="71">
        <v>8</v>
      </c>
      <c r="H274" s="49"/>
    </row>
    <row r="275" spans="1:8" ht="14.5" x14ac:dyDescent="0.35">
      <c r="A275" s="1" t="s">
        <v>10</v>
      </c>
      <c r="B275" s="2" t="s">
        <v>10</v>
      </c>
      <c r="C275" s="2" t="s">
        <v>10</v>
      </c>
      <c r="D275" s="70" t="s">
        <v>118</v>
      </c>
      <c r="E275" s="180" t="s">
        <v>1536</v>
      </c>
      <c r="F275" s="180"/>
      <c r="G275" s="71">
        <v>2</v>
      </c>
      <c r="H275" s="72" t="s">
        <v>10</v>
      </c>
    </row>
    <row r="276" spans="1:8" ht="14.5" x14ac:dyDescent="0.35">
      <c r="A276" s="1" t="s">
        <v>645</v>
      </c>
      <c r="B276" s="2" t="s">
        <v>10</v>
      </c>
      <c r="C276" s="2" t="s">
        <v>606</v>
      </c>
      <c r="D276" s="181" t="s">
        <v>1112</v>
      </c>
      <c r="E276" s="181" t="s">
        <v>10</v>
      </c>
      <c r="F276" s="181"/>
      <c r="G276" s="71">
        <v>300</v>
      </c>
      <c r="H276" s="68">
        <v>0</v>
      </c>
    </row>
    <row r="277" spans="1:8" ht="14.5" x14ac:dyDescent="0.35">
      <c r="A277" s="1" t="s">
        <v>648</v>
      </c>
      <c r="B277" s="2" t="s">
        <v>10</v>
      </c>
      <c r="C277" s="2" t="s">
        <v>649</v>
      </c>
      <c r="D277" s="181" t="s">
        <v>110</v>
      </c>
      <c r="E277" s="181" t="s">
        <v>10</v>
      </c>
      <c r="F277" s="181"/>
      <c r="G277" s="71">
        <v>1</v>
      </c>
      <c r="H277" s="68">
        <v>0</v>
      </c>
    </row>
    <row r="278" spans="1:8" ht="14.5" x14ac:dyDescent="0.35">
      <c r="A278" s="1" t="s">
        <v>651</v>
      </c>
      <c r="B278" s="2" t="s">
        <v>10</v>
      </c>
      <c r="C278" s="2" t="s">
        <v>652</v>
      </c>
      <c r="D278" s="181" t="s">
        <v>110</v>
      </c>
      <c r="E278" s="181" t="s">
        <v>10</v>
      </c>
      <c r="F278" s="181"/>
      <c r="G278" s="71">
        <v>1</v>
      </c>
      <c r="H278" s="68">
        <v>0</v>
      </c>
    </row>
    <row r="279" spans="1:8" ht="14.5" x14ac:dyDescent="0.35">
      <c r="A279" s="1" t="s">
        <v>654</v>
      </c>
      <c r="B279" s="2" t="s">
        <v>10</v>
      </c>
      <c r="C279" s="2" t="s">
        <v>655</v>
      </c>
      <c r="D279" s="181" t="s">
        <v>110</v>
      </c>
      <c r="E279" s="181" t="s">
        <v>10</v>
      </c>
      <c r="F279" s="181"/>
      <c r="G279" s="71">
        <v>1</v>
      </c>
      <c r="H279" s="68">
        <v>0</v>
      </c>
    </row>
    <row r="280" spans="1:8" ht="14.5" x14ac:dyDescent="0.35">
      <c r="A280" s="1" t="s">
        <v>657</v>
      </c>
      <c r="B280" s="2" t="s">
        <v>10</v>
      </c>
      <c r="C280" s="2" t="s">
        <v>658</v>
      </c>
      <c r="D280" s="181" t="s">
        <v>110</v>
      </c>
      <c r="E280" s="181" t="s">
        <v>10</v>
      </c>
      <c r="F280" s="181"/>
      <c r="G280" s="71">
        <v>1</v>
      </c>
      <c r="H280" s="68">
        <v>0</v>
      </c>
    </row>
    <row r="281" spans="1:8" ht="14.5" x14ac:dyDescent="0.35">
      <c r="A281" s="1" t="s">
        <v>660</v>
      </c>
      <c r="B281" s="2" t="s">
        <v>10</v>
      </c>
      <c r="C281" s="2" t="s">
        <v>661</v>
      </c>
      <c r="D281" s="181" t="s">
        <v>122</v>
      </c>
      <c r="E281" s="181" t="s">
        <v>10</v>
      </c>
      <c r="F281" s="181"/>
      <c r="G281" s="71">
        <v>3</v>
      </c>
      <c r="H281" s="68">
        <v>0</v>
      </c>
    </row>
    <row r="282" spans="1:8" ht="14.5" x14ac:dyDescent="0.35">
      <c r="A282" s="73" t="s">
        <v>10</v>
      </c>
      <c r="B282" s="51" t="s">
        <v>10</v>
      </c>
      <c r="C282" s="51" t="s">
        <v>372</v>
      </c>
      <c r="D282" s="173" t="s">
        <v>663</v>
      </c>
      <c r="E282" s="173"/>
      <c r="F282" s="51" t="s">
        <v>10</v>
      </c>
      <c r="G282" s="36" t="s">
        <v>10</v>
      </c>
      <c r="H282" s="74" t="s">
        <v>10</v>
      </c>
    </row>
    <row r="283" spans="1:8" ht="14.5" x14ac:dyDescent="0.35">
      <c r="A283" s="1" t="s">
        <v>664</v>
      </c>
      <c r="B283" s="2" t="s">
        <v>10</v>
      </c>
      <c r="C283" s="2" t="s">
        <v>665</v>
      </c>
      <c r="D283" s="88" t="s">
        <v>666</v>
      </c>
      <c r="E283" s="88"/>
      <c r="F283" s="2" t="s">
        <v>137</v>
      </c>
      <c r="G283" s="53">
        <v>50</v>
      </c>
      <c r="H283" s="68">
        <v>0</v>
      </c>
    </row>
    <row r="284" spans="1:8" ht="14.5" x14ac:dyDescent="0.35">
      <c r="A284" s="69"/>
      <c r="D284" s="70" t="s">
        <v>1537</v>
      </c>
      <c r="E284" s="180" t="s">
        <v>1538</v>
      </c>
      <c r="F284" s="180"/>
      <c r="G284" s="71">
        <v>0</v>
      </c>
      <c r="H284" s="49"/>
    </row>
    <row r="285" spans="1:8" ht="14.5" x14ac:dyDescent="0.35">
      <c r="A285" s="1" t="s">
        <v>10</v>
      </c>
      <c r="B285" s="2" t="s">
        <v>10</v>
      </c>
      <c r="C285" s="2" t="s">
        <v>10</v>
      </c>
      <c r="D285" s="70" t="s">
        <v>292</v>
      </c>
      <c r="E285" s="180" t="s">
        <v>1539</v>
      </c>
      <c r="F285" s="180"/>
      <c r="G285" s="71">
        <v>50</v>
      </c>
      <c r="H285" s="72" t="s">
        <v>10</v>
      </c>
    </row>
    <row r="286" spans="1:8" ht="14.5" x14ac:dyDescent="0.35">
      <c r="A286" s="1" t="s">
        <v>669</v>
      </c>
      <c r="B286" s="2" t="s">
        <v>10</v>
      </c>
      <c r="C286" s="2" t="s">
        <v>670</v>
      </c>
      <c r="D286" s="181" t="s">
        <v>110</v>
      </c>
      <c r="E286" s="181" t="s">
        <v>10</v>
      </c>
      <c r="F286" s="181"/>
      <c r="G286" s="71">
        <v>1</v>
      </c>
      <c r="H286" s="68">
        <v>0</v>
      </c>
    </row>
    <row r="287" spans="1:8" ht="14.5" x14ac:dyDescent="0.35">
      <c r="A287" s="1" t="s">
        <v>672</v>
      </c>
      <c r="B287" s="2" t="s">
        <v>10</v>
      </c>
      <c r="C287" s="2" t="s">
        <v>673</v>
      </c>
      <c r="D287" s="181" t="s">
        <v>110</v>
      </c>
      <c r="E287" s="181" t="s">
        <v>10</v>
      </c>
      <c r="F287" s="181"/>
      <c r="G287" s="71">
        <v>1</v>
      </c>
      <c r="H287" s="68">
        <v>0</v>
      </c>
    </row>
    <row r="288" spans="1:8" ht="14.5" x14ac:dyDescent="0.35">
      <c r="A288" s="1" t="s">
        <v>675</v>
      </c>
      <c r="B288" s="2" t="s">
        <v>10</v>
      </c>
      <c r="C288" s="2" t="s">
        <v>676</v>
      </c>
      <c r="D288" s="88" t="s">
        <v>677</v>
      </c>
      <c r="E288" s="88"/>
      <c r="F288" s="2" t="s">
        <v>137</v>
      </c>
      <c r="G288" s="53">
        <v>50</v>
      </c>
      <c r="H288" s="68">
        <v>0</v>
      </c>
    </row>
    <row r="289" spans="1:8" ht="14.5" x14ac:dyDescent="0.35">
      <c r="A289" s="69"/>
      <c r="D289" s="70" t="s">
        <v>292</v>
      </c>
      <c r="E289" s="180" t="s">
        <v>10</v>
      </c>
      <c r="F289" s="180"/>
      <c r="G289" s="71">
        <v>50</v>
      </c>
      <c r="H289" s="49"/>
    </row>
    <row r="290" spans="1:8" ht="14.5" x14ac:dyDescent="0.35">
      <c r="A290" s="1" t="s">
        <v>10</v>
      </c>
      <c r="B290" s="2" t="s">
        <v>10</v>
      </c>
      <c r="C290" s="2" t="s">
        <v>10</v>
      </c>
      <c r="D290" s="70" t="s">
        <v>1537</v>
      </c>
      <c r="E290" s="180" t="s">
        <v>10</v>
      </c>
      <c r="F290" s="180"/>
      <c r="G290" s="71">
        <v>0</v>
      </c>
      <c r="H290" s="72" t="s">
        <v>10</v>
      </c>
    </row>
    <row r="291" spans="1:8" ht="14.5" x14ac:dyDescent="0.35">
      <c r="A291" s="1" t="s">
        <v>678</v>
      </c>
      <c r="B291" s="2" t="s">
        <v>10</v>
      </c>
      <c r="C291" s="2" t="s">
        <v>679</v>
      </c>
      <c r="D291" s="88" t="s">
        <v>680</v>
      </c>
      <c r="E291" s="88"/>
      <c r="F291" s="2" t="s">
        <v>137</v>
      </c>
      <c r="G291" s="53">
        <v>20</v>
      </c>
      <c r="H291" s="68">
        <v>0</v>
      </c>
    </row>
    <row r="292" spans="1:8" ht="14.5" x14ac:dyDescent="0.35">
      <c r="A292" s="69"/>
      <c r="D292" s="70" t="s">
        <v>180</v>
      </c>
      <c r="E292" s="180" t="s">
        <v>10</v>
      </c>
      <c r="F292" s="180"/>
      <c r="G292" s="71">
        <v>20</v>
      </c>
      <c r="H292" s="49"/>
    </row>
    <row r="293" spans="1:8" ht="14.5" x14ac:dyDescent="0.35">
      <c r="A293" s="1" t="s">
        <v>10</v>
      </c>
      <c r="B293" s="2" t="s">
        <v>10</v>
      </c>
      <c r="C293" s="2" t="s">
        <v>10</v>
      </c>
      <c r="D293" s="70" t="s">
        <v>1537</v>
      </c>
      <c r="E293" s="180" t="s">
        <v>10</v>
      </c>
      <c r="F293" s="180"/>
      <c r="G293" s="71">
        <v>0</v>
      </c>
      <c r="H293" s="72" t="s">
        <v>10</v>
      </c>
    </row>
    <row r="294" spans="1:8" ht="14.5" x14ac:dyDescent="0.35">
      <c r="A294" s="1" t="s">
        <v>681</v>
      </c>
      <c r="B294" s="2" t="s">
        <v>10</v>
      </c>
      <c r="C294" s="2" t="s">
        <v>682</v>
      </c>
      <c r="D294" s="181" t="s">
        <v>131</v>
      </c>
      <c r="E294" s="181" t="s">
        <v>10</v>
      </c>
      <c r="F294" s="181"/>
      <c r="G294" s="71">
        <v>6</v>
      </c>
      <c r="H294" s="68">
        <v>0</v>
      </c>
    </row>
    <row r="295" spans="1:8" ht="14.5" x14ac:dyDescent="0.35">
      <c r="A295" s="1" t="s">
        <v>684</v>
      </c>
      <c r="B295" s="2" t="s">
        <v>10</v>
      </c>
      <c r="C295" s="2" t="s">
        <v>685</v>
      </c>
      <c r="D295" s="181" t="s">
        <v>125</v>
      </c>
      <c r="E295" s="181" t="s">
        <v>10</v>
      </c>
      <c r="F295" s="181"/>
      <c r="G295" s="71">
        <v>4</v>
      </c>
      <c r="H295" s="68">
        <v>0</v>
      </c>
    </row>
    <row r="296" spans="1:8" ht="14.5" x14ac:dyDescent="0.35">
      <c r="A296" s="1" t="s">
        <v>687</v>
      </c>
      <c r="B296" s="2" t="s">
        <v>10</v>
      </c>
      <c r="C296" s="2" t="s">
        <v>688</v>
      </c>
      <c r="D296" s="181" t="s">
        <v>110</v>
      </c>
      <c r="E296" s="181" t="s">
        <v>10</v>
      </c>
      <c r="F296" s="181"/>
      <c r="G296" s="71">
        <v>1</v>
      </c>
      <c r="H296" s="68">
        <v>0</v>
      </c>
    </row>
    <row r="297" spans="1:8" ht="14.5" x14ac:dyDescent="0.35">
      <c r="A297" s="1" t="s">
        <v>690</v>
      </c>
      <c r="B297" s="2" t="s">
        <v>10</v>
      </c>
      <c r="C297" s="2" t="s">
        <v>691</v>
      </c>
      <c r="D297" s="181" t="s">
        <v>122</v>
      </c>
      <c r="E297" s="181" t="s">
        <v>10</v>
      </c>
      <c r="F297" s="181"/>
      <c r="G297" s="71">
        <v>3</v>
      </c>
      <c r="H297" s="68">
        <v>0</v>
      </c>
    </row>
    <row r="298" spans="1:8" ht="14.5" x14ac:dyDescent="0.35">
      <c r="A298" s="1" t="s">
        <v>693</v>
      </c>
      <c r="B298" s="2" t="s">
        <v>10</v>
      </c>
      <c r="C298" s="2" t="s">
        <v>694</v>
      </c>
      <c r="D298" s="181" t="s">
        <v>118</v>
      </c>
      <c r="E298" s="181" t="s">
        <v>10</v>
      </c>
      <c r="F298" s="181"/>
      <c r="G298" s="71">
        <v>2</v>
      </c>
      <c r="H298" s="68">
        <v>0</v>
      </c>
    </row>
    <row r="299" spans="1:8" ht="14.5" x14ac:dyDescent="0.35">
      <c r="A299" s="1" t="s">
        <v>696</v>
      </c>
      <c r="B299" s="2" t="s">
        <v>10</v>
      </c>
      <c r="C299" s="2" t="s">
        <v>697</v>
      </c>
      <c r="D299" s="88" t="s">
        <v>698</v>
      </c>
      <c r="E299" s="88"/>
      <c r="F299" s="2" t="s">
        <v>121</v>
      </c>
      <c r="G299" s="53">
        <v>6</v>
      </c>
      <c r="H299" s="68">
        <v>0</v>
      </c>
    </row>
    <row r="300" spans="1:8" ht="14.5" x14ac:dyDescent="0.35">
      <c r="A300" s="69"/>
      <c r="D300" s="70" t="s">
        <v>131</v>
      </c>
      <c r="E300" s="180" t="s">
        <v>10</v>
      </c>
      <c r="F300" s="180"/>
      <c r="G300" s="71">
        <v>6</v>
      </c>
      <c r="H300" s="49"/>
    </row>
    <row r="301" spans="1:8" ht="14.5" x14ac:dyDescent="0.35">
      <c r="A301" s="1" t="s">
        <v>10</v>
      </c>
      <c r="B301" s="2" t="s">
        <v>10</v>
      </c>
      <c r="C301" s="2" t="s">
        <v>10</v>
      </c>
      <c r="D301" s="70" t="s">
        <v>1537</v>
      </c>
      <c r="E301" s="180" t="s">
        <v>10</v>
      </c>
      <c r="F301" s="180"/>
      <c r="G301" s="71">
        <v>0</v>
      </c>
      <c r="H301" s="72" t="s">
        <v>10</v>
      </c>
    </row>
    <row r="302" spans="1:8" ht="14.5" x14ac:dyDescent="0.35">
      <c r="A302" s="1" t="s">
        <v>699</v>
      </c>
      <c r="B302" s="2" t="s">
        <v>10</v>
      </c>
      <c r="C302" s="2" t="s">
        <v>700</v>
      </c>
      <c r="D302" s="181" t="s">
        <v>131</v>
      </c>
      <c r="E302" s="181" t="s">
        <v>10</v>
      </c>
      <c r="F302" s="181"/>
      <c r="G302" s="71">
        <v>6</v>
      </c>
      <c r="H302" s="68">
        <v>0</v>
      </c>
    </row>
    <row r="303" spans="1:8" ht="14.5" x14ac:dyDescent="0.35">
      <c r="A303" s="1" t="s">
        <v>702</v>
      </c>
      <c r="B303" s="2" t="s">
        <v>10</v>
      </c>
      <c r="C303" s="2" t="s">
        <v>703</v>
      </c>
      <c r="D303" s="181" t="s">
        <v>153</v>
      </c>
      <c r="E303" s="181" t="s">
        <v>10</v>
      </c>
      <c r="F303" s="181"/>
      <c r="G303" s="71">
        <v>12</v>
      </c>
      <c r="H303" s="68">
        <v>0</v>
      </c>
    </row>
    <row r="304" spans="1:8" ht="14.5" x14ac:dyDescent="0.35">
      <c r="A304" s="73" t="s">
        <v>10</v>
      </c>
      <c r="B304" s="51" t="s">
        <v>10</v>
      </c>
      <c r="C304" s="51" t="s">
        <v>705</v>
      </c>
      <c r="D304" s="173" t="s">
        <v>706</v>
      </c>
      <c r="E304" s="173"/>
      <c r="F304" s="51" t="s">
        <v>10</v>
      </c>
      <c r="G304" s="36" t="s">
        <v>10</v>
      </c>
      <c r="H304" s="74" t="s">
        <v>10</v>
      </c>
    </row>
    <row r="305" spans="1:8" ht="14.5" x14ac:dyDescent="0.35">
      <c r="A305" s="1" t="s">
        <v>707</v>
      </c>
      <c r="B305" s="2" t="s">
        <v>10</v>
      </c>
      <c r="C305" s="2" t="s">
        <v>708</v>
      </c>
      <c r="D305" s="88" t="s">
        <v>709</v>
      </c>
      <c r="E305" s="88"/>
      <c r="F305" s="2" t="s">
        <v>113</v>
      </c>
      <c r="G305" s="53">
        <v>42.51</v>
      </c>
      <c r="H305" s="68">
        <v>0</v>
      </c>
    </row>
    <row r="306" spans="1:8" ht="14.5" x14ac:dyDescent="0.35">
      <c r="A306" s="69"/>
      <c r="D306" s="70" t="s">
        <v>1540</v>
      </c>
      <c r="E306" s="180" t="s">
        <v>10</v>
      </c>
      <c r="F306" s="180"/>
      <c r="G306" s="71">
        <v>10.56</v>
      </c>
      <c r="H306" s="49"/>
    </row>
    <row r="307" spans="1:8" ht="14.5" x14ac:dyDescent="0.35">
      <c r="A307" s="1" t="s">
        <v>10</v>
      </c>
      <c r="B307" s="2" t="s">
        <v>10</v>
      </c>
      <c r="C307" s="2" t="s">
        <v>10</v>
      </c>
      <c r="D307" s="70" t="s">
        <v>1541</v>
      </c>
      <c r="E307" s="180" t="s">
        <v>10</v>
      </c>
      <c r="F307" s="180"/>
      <c r="G307" s="71">
        <v>31.95</v>
      </c>
      <c r="H307" s="72" t="s">
        <v>10</v>
      </c>
    </row>
    <row r="308" spans="1:8" ht="14.5" x14ac:dyDescent="0.35">
      <c r="A308" s="1" t="s">
        <v>712</v>
      </c>
      <c r="B308" s="2" t="s">
        <v>10</v>
      </c>
      <c r="C308" s="2" t="s">
        <v>713</v>
      </c>
      <c r="D308" s="88" t="s">
        <v>714</v>
      </c>
      <c r="E308" s="88"/>
      <c r="F308" s="2" t="s">
        <v>121</v>
      </c>
      <c r="G308" s="53">
        <v>32</v>
      </c>
      <c r="H308" s="68">
        <v>0</v>
      </c>
    </row>
    <row r="309" spans="1:8" ht="14.5" x14ac:dyDescent="0.35">
      <c r="A309" s="69"/>
      <c r="D309" s="70" t="s">
        <v>223</v>
      </c>
      <c r="E309" s="180" t="s">
        <v>10</v>
      </c>
      <c r="F309" s="180"/>
      <c r="G309" s="71">
        <v>31</v>
      </c>
      <c r="H309" s="49"/>
    </row>
    <row r="310" spans="1:8" ht="14.5" x14ac:dyDescent="0.35">
      <c r="A310" s="1" t="s">
        <v>10</v>
      </c>
      <c r="B310" s="2" t="s">
        <v>10</v>
      </c>
      <c r="C310" s="2" t="s">
        <v>10</v>
      </c>
      <c r="D310" s="70" t="s">
        <v>110</v>
      </c>
      <c r="E310" s="180" t="s">
        <v>10</v>
      </c>
      <c r="F310" s="180"/>
      <c r="G310" s="71">
        <v>1</v>
      </c>
      <c r="H310" s="72" t="s">
        <v>10</v>
      </c>
    </row>
    <row r="311" spans="1:8" ht="14.5" x14ac:dyDescent="0.35">
      <c r="A311" s="1" t="s">
        <v>715</v>
      </c>
      <c r="B311" s="2" t="s">
        <v>10</v>
      </c>
      <c r="C311" s="2" t="s">
        <v>716</v>
      </c>
      <c r="D311" s="181" t="s">
        <v>1542</v>
      </c>
      <c r="E311" s="181" t="s">
        <v>10</v>
      </c>
      <c r="F311" s="181"/>
      <c r="G311" s="71">
        <v>32</v>
      </c>
      <c r="H311" s="68">
        <v>0</v>
      </c>
    </row>
    <row r="312" spans="1:8" ht="14.5" x14ac:dyDescent="0.35">
      <c r="A312" s="1" t="s">
        <v>718</v>
      </c>
      <c r="B312" s="2" t="s">
        <v>10</v>
      </c>
      <c r="C312" s="2" t="s">
        <v>719</v>
      </c>
      <c r="D312" s="88" t="s">
        <v>720</v>
      </c>
      <c r="E312" s="88"/>
      <c r="F312" s="2" t="s">
        <v>434</v>
      </c>
      <c r="G312" s="53">
        <v>17</v>
      </c>
      <c r="H312" s="68">
        <v>0</v>
      </c>
    </row>
    <row r="313" spans="1:8" ht="14.5" x14ac:dyDescent="0.35">
      <c r="A313" s="69"/>
      <c r="D313" s="70" t="s">
        <v>145</v>
      </c>
      <c r="E313" s="180" t="s">
        <v>1543</v>
      </c>
      <c r="F313" s="180"/>
      <c r="G313" s="71">
        <v>9</v>
      </c>
      <c r="H313" s="49"/>
    </row>
    <row r="314" spans="1:8" ht="14.5" x14ac:dyDescent="0.35">
      <c r="A314" s="1" t="s">
        <v>10</v>
      </c>
      <c r="B314" s="2" t="s">
        <v>10</v>
      </c>
      <c r="C314" s="2" t="s">
        <v>10</v>
      </c>
      <c r="D314" s="70" t="s">
        <v>140</v>
      </c>
      <c r="E314" s="180" t="s">
        <v>117</v>
      </c>
      <c r="F314" s="180"/>
      <c r="G314" s="71">
        <v>8</v>
      </c>
      <c r="H314" s="72" t="s">
        <v>10</v>
      </c>
    </row>
    <row r="315" spans="1:8" ht="14.5" x14ac:dyDescent="0.35">
      <c r="A315" s="1" t="s">
        <v>721</v>
      </c>
      <c r="B315" s="2" t="s">
        <v>10</v>
      </c>
      <c r="C315" s="2" t="s">
        <v>722</v>
      </c>
      <c r="D315" s="88" t="s">
        <v>723</v>
      </c>
      <c r="E315" s="88"/>
      <c r="F315" s="2" t="s">
        <v>434</v>
      </c>
      <c r="G315" s="53">
        <v>4</v>
      </c>
      <c r="H315" s="68">
        <v>0</v>
      </c>
    </row>
    <row r="316" spans="1:8" ht="14.5" x14ac:dyDescent="0.35">
      <c r="A316" s="69"/>
      <c r="D316" s="70" t="s">
        <v>118</v>
      </c>
      <c r="E316" s="180" t="s">
        <v>1543</v>
      </c>
      <c r="F316" s="180"/>
      <c r="G316" s="71">
        <v>2</v>
      </c>
      <c r="H316" s="49"/>
    </row>
    <row r="317" spans="1:8" ht="14.5" x14ac:dyDescent="0.35">
      <c r="A317" s="1" t="s">
        <v>10</v>
      </c>
      <c r="B317" s="2" t="s">
        <v>10</v>
      </c>
      <c r="C317" s="2" t="s">
        <v>10</v>
      </c>
      <c r="D317" s="70" t="s">
        <v>118</v>
      </c>
      <c r="E317" s="180" t="s">
        <v>117</v>
      </c>
      <c r="F317" s="180"/>
      <c r="G317" s="71">
        <v>2</v>
      </c>
      <c r="H317" s="72" t="s">
        <v>10</v>
      </c>
    </row>
    <row r="318" spans="1:8" ht="14.5" x14ac:dyDescent="0.35">
      <c r="A318" s="1" t="s">
        <v>724</v>
      </c>
      <c r="B318" s="2" t="s">
        <v>10</v>
      </c>
      <c r="C318" s="2" t="s">
        <v>725</v>
      </c>
      <c r="D318" s="88" t="s">
        <v>726</v>
      </c>
      <c r="E318" s="88"/>
      <c r="F318" s="2" t="s">
        <v>434</v>
      </c>
      <c r="G318" s="53">
        <v>5</v>
      </c>
      <c r="H318" s="68">
        <v>0</v>
      </c>
    </row>
    <row r="319" spans="1:8" ht="14.5" x14ac:dyDescent="0.35">
      <c r="A319" s="69"/>
      <c r="D319" s="70" t="s">
        <v>110</v>
      </c>
      <c r="E319" s="180" t="s">
        <v>1543</v>
      </c>
      <c r="F319" s="180"/>
      <c r="G319" s="71">
        <v>1</v>
      </c>
      <c r="H319" s="49"/>
    </row>
    <row r="320" spans="1:8" ht="14.5" x14ac:dyDescent="0.35">
      <c r="A320" s="1" t="s">
        <v>10</v>
      </c>
      <c r="B320" s="2" t="s">
        <v>10</v>
      </c>
      <c r="C320" s="2" t="s">
        <v>10</v>
      </c>
      <c r="D320" s="70" t="s">
        <v>125</v>
      </c>
      <c r="E320" s="180" t="s">
        <v>117</v>
      </c>
      <c r="F320" s="180"/>
      <c r="G320" s="71">
        <v>4</v>
      </c>
      <c r="H320" s="72" t="s">
        <v>10</v>
      </c>
    </row>
    <row r="321" spans="1:8" ht="14.5" x14ac:dyDescent="0.35">
      <c r="A321" s="1" t="s">
        <v>727</v>
      </c>
      <c r="B321" s="2" t="s">
        <v>10</v>
      </c>
      <c r="C321" s="2" t="s">
        <v>728</v>
      </c>
      <c r="D321" s="88" t="s">
        <v>729</v>
      </c>
      <c r="E321" s="88"/>
      <c r="F321" s="2" t="s">
        <v>434</v>
      </c>
      <c r="G321" s="53">
        <v>2</v>
      </c>
      <c r="H321" s="68">
        <v>0</v>
      </c>
    </row>
    <row r="322" spans="1:8" ht="14.5" x14ac:dyDescent="0.35">
      <c r="A322" s="69"/>
      <c r="D322" s="70" t="s">
        <v>110</v>
      </c>
      <c r="E322" s="180" t="s">
        <v>1543</v>
      </c>
      <c r="F322" s="180"/>
      <c r="G322" s="71">
        <v>1</v>
      </c>
      <c r="H322" s="49"/>
    </row>
    <row r="323" spans="1:8" ht="14.5" x14ac:dyDescent="0.35">
      <c r="A323" s="1" t="s">
        <v>10</v>
      </c>
      <c r="B323" s="2" t="s">
        <v>10</v>
      </c>
      <c r="C323" s="2" t="s">
        <v>10</v>
      </c>
      <c r="D323" s="70" t="s">
        <v>110</v>
      </c>
      <c r="E323" s="180" t="s">
        <v>117</v>
      </c>
      <c r="F323" s="180"/>
      <c r="G323" s="71">
        <v>1</v>
      </c>
      <c r="H323" s="72" t="s">
        <v>10</v>
      </c>
    </row>
    <row r="324" spans="1:8" ht="14.5" x14ac:dyDescent="0.35">
      <c r="A324" s="1" t="s">
        <v>730</v>
      </c>
      <c r="B324" s="2" t="s">
        <v>10</v>
      </c>
      <c r="C324" s="2" t="s">
        <v>731</v>
      </c>
      <c r="D324" s="181" t="s">
        <v>223</v>
      </c>
      <c r="E324" s="181" t="s">
        <v>10</v>
      </c>
      <c r="F324" s="181"/>
      <c r="G324" s="71">
        <v>31</v>
      </c>
      <c r="H324" s="68">
        <v>0</v>
      </c>
    </row>
    <row r="325" spans="1:8" ht="14.5" x14ac:dyDescent="0.35">
      <c r="A325" s="1" t="s">
        <v>734</v>
      </c>
      <c r="B325" s="2" t="s">
        <v>10</v>
      </c>
      <c r="C325" s="2" t="s">
        <v>735</v>
      </c>
      <c r="D325" s="88" t="s">
        <v>736</v>
      </c>
      <c r="E325" s="88"/>
      <c r="F325" s="2" t="s">
        <v>434</v>
      </c>
      <c r="G325" s="53">
        <v>2</v>
      </c>
      <c r="H325" s="68">
        <v>0</v>
      </c>
    </row>
    <row r="326" spans="1:8" ht="14.5" x14ac:dyDescent="0.35">
      <c r="A326" s="69"/>
      <c r="D326" s="70" t="s">
        <v>110</v>
      </c>
      <c r="E326" s="180" t="s">
        <v>1543</v>
      </c>
      <c r="F326" s="180"/>
      <c r="G326" s="71">
        <v>1</v>
      </c>
      <c r="H326" s="49"/>
    </row>
    <row r="327" spans="1:8" ht="14.5" x14ac:dyDescent="0.35">
      <c r="A327" s="1" t="s">
        <v>10</v>
      </c>
      <c r="B327" s="2" t="s">
        <v>10</v>
      </c>
      <c r="C327" s="2" t="s">
        <v>10</v>
      </c>
      <c r="D327" s="70" t="s">
        <v>110</v>
      </c>
      <c r="E327" s="180" t="s">
        <v>117</v>
      </c>
      <c r="F327" s="180"/>
      <c r="G327" s="71">
        <v>1</v>
      </c>
      <c r="H327" s="72" t="s">
        <v>10</v>
      </c>
    </row>
    <row r="328" spans="1:8" ht="14.5" x14ac:dyDescent="0.35">
      <c r="A328" s="1" t="s">
        <v>737</v>
      </c>
      <c r="B328" s="2" t="s">
        <v>10</v>
      </c>
      <c r="C328" s="2" t="s">
        <v>738</v>
      </c>
      <c r="D328" s="181" t="s">
        <v>110</v>
      </c>
      <c r="E328" s="181" t="s">
        <v>10</v>
      </c>
      <c r="F328" s="181"/>
      <c r="G328" s="71">
        <v>1</v>
      </c>
      <c r="H328" s="68">
        <v>0</v>
      </c>
    </row>
    <row r="329" spans="1:8" ht="14.5" x14ac:dyDescent="0.35">
      <c r="A329" s="1" t="s">
        <v>740</v>
      </c>
      <c r="B329" s="2" t="s">
        <v>10</v>
      </c>
      <c r="C329" s="2" t="s">
        <v>741</v>
      </c>
      <c r="D329" s="181" t="s">
        <v>110</v>
      </c>
      <c r="E329" s="181" t="s">
        <v>10</v>
      </c>
      <c r="F329" s="181"/>
      <c r="G329" s="71">
        <v>1</v>
      </c>
      <c r="H329" s="68">
        <v>0</v>
      </c>
    </row>
    <row r="330" spans="1:8" ht="14.5" x14ac:dyDescent="0.35">
      <c r="A330" s="73" t="s">
        <v>10</v>
      </c>
      <c r="B330" s="51" t="s">
        <v>10</v>
      </c>
      <c r="C330" s="51" t="s">
        <v>743</v>
      </c>
      <c r="D330" s="173" t="s">
        <v>744</v>
      </c>
      <c r="E330" s="173"/>
      <c r="F330" s="51" t="s">
        <v>10</v>
      </c>
      <c r="G330" s="36" t="s">
        <v>10</v>
      </c>
      <c r="H330" s="74" t="s">
        <v>10</v>
      </c>
    </row>
    <row r="331" spans="1:8" ht="14.5" x14ac:dyDescent="0.35">
      <c r="A331" s="1" t="s">
        <v>745</v>
      </c>
      <c r="B331" s="2" t="s">
        <v>10</v>
      </c>
      <c r="C331" s="2" t="s">
        <v>746</v>
      </c>
      <c r="D331" s="181" t="s">
        <v>122</v>
      </c>
      <c r="E331" s="181" t="s">
        <v>10</v>
      </c>
      <c r="F331" s="181"/>
      <c r="G331" s="71">
        <v>3</v>
      </c>
      <c r="H331" s="68">
        <v>0</v>
      </c>
    </row>
    <row r="332" spans="1:8" ht="14.5" x14ac:dyDescent="0.35">
      <c r="A332" s="1" t="s">
        <v>749</v>
      </c>
      <c r="B332" s="2" t="s">
        <v>10</v>
      </c>
      <c r="C332" s="2" t="s">
        <v>750</v>
      </c>
      <c r="D332" s="181" t="s">
        <v>110</v>
      </c>
      <c r="E332" s="181" t="s">
        <v>10</v>
      </c>
      <c r="F332" s="181"/>
      <c r="G332" s="71">
        <v>1</v>
      </c>
      <c r="H332" s="68">
        <v>0</v>
      </c>
    </row>
    <row r="333" spans="1:8" ht="14.5" x14ac:dyDescent="0.35">
      <c r="A333" s="1" t="s">
        <v>752</v>
      </c>
      <c r="B333" s="2" t="s">
        <v>10</v>
      </c>
      <c r="C333" s="2" t="s">
        <v>753</v>
      </c>
      <c r="D333" s="88" t="s">
        <v>754</v>
      </c>
      <c r="E333" s="88"/>
      <c r="F333" s="2" t="s">
        <v>137</v>
      </c>
      <c r="G333" s="53">
        <v>10.55</v>
      </c>
      <c r="H333" s="68">
        <v>0</v>
      </c>
    </row>
    <row r="334" spans="1:8" ht="14.5" x14ac:dyDescent="0.35">
      <c r="A334" s="69"/>
      <c r="D334" s="70" t="s">
        <v>1544</v>
      </c>
      <c r="E334" s="180" t="s">
        <v>1545</v>
      </c>
      <c r="F334" s="180"/>
      <c r="G334" s="71">
        <v>1.95</v>
      </c>
      <c r="H334" s="49"/>
    </row>
    <row r="335" spans="1:8" ht="14.5" x14ac:dyDescent="0.35">
      <c r="A335" s="1" t="s">
        <v>10</v>
      </c>
      <c r="B335" s="2" t="s">
        <v>10</v>
      </c>
      <c r="C335" s="2" t="s">
        <v>10</v>
      </c>
      <c r="D335" s="70" t="s">
        <v>118</v>
      </c>
      <c r="E335" s="180" t="s">
        <v>1546</v>
      </c>
      <c r="F335" s="180"/>
      <c r="G335" s="71">
        <v>2</v>
      </c>
      <c r="H335" s="72" t="s">
        <v>10</v>
      </c>
    </row>
    <row r="336" spans="1:8" ht="14.5" x14ac:dyDescent="0.35">
      <c r="A336" s="1" t="s">
        <v>10</v>
      </c>
      <c r="B336" s="2" t="s">
        <v>10</v>
      </c>
      <c r="C336" s="2" t="s">
        <v>10</v>
      </c>
      <c r="D336" s="70" t="s">
        <v>1547</v>
      </c>
      <c r="E336" s="180" t="s">
        <v>1548</v>
      </c>
      <c r="F336" s="180"/>
      <c r="G336" s="71">
        <v>3.3</v>
      </c>
      <c r="H336" s="72" t="s">
        <v>10</v>
      </c>
    </row>
    <row r="337" spans="1:8" ht="14.5" x14ac:dyDescent="0.35">
      <c r="A337" s="1" t="s">
        <v>10</v>
      </c>
      <c r="B337" s="2" t="s">
        <v>10</v>
      </c>
      <c r="C337" s="2" t="s">
        <v>10</v>
      </c>
      <c r="D337" s="70" t="s">
        <v>1547</v>
      </c>
      <c r="E337" s="180" t="s">
        <v>1549</v>
      </c>
      <c r="F337" s="180"/>
      <c r="G337" s="71">
        <v>3.3</v>
      </c>
      <c r="H337" s="72" t="s">
        <v>10</v>
      </c>
    </row>
    <row r="338" spans="1:8" ht="14.5" x14ac:dyDescent="0.35">
      <c r="A338" s="1" t="s">
        <v>755</v>
      </c>
      <c r="B338" s="2" t="s">
        <v>10</v>
      </c>
      <c r="C338" s="2" t="s">
        <v>756</v>
      </c>
      <c r="D338" s="181" t="s">
        <v>110</v>
      </c>
      <c r="E338" s="181" t="s">
        <v>10</v>
      </c>
      <c r="F338" s="181"/>
      <c r="G338" s="71">
        <v>1</v>
      </c>
      <c r="H338" s="68">
        <v>0</v>
      </c>
    </row>
    <row r="339" spans="1:8" ht="14.5" x14ac:dyDescent="0.35">
      <c r="A339" s="1" t="s">
        <v>758</v>
      </c>
      <c r="B339" s="2" t="s">
        <v>10</v>
      </c>
      <c r="C339" s="2" t="s">
        <v>759</v>
      </c>
      <c r="D339" s="181" t="s">
        <v>1550</v>
      </c>
      <c r="E339" s="181" t="s">
        <v>10</v>
      </c>
      <c r="F339" s="181"/>
      <c r="G339" s="71">
        <v>6.6</v>
      </c>
      <c r="H339" s="68">
        <v>0</v>
      </c>
    </row>
    <row r="340" spans="1:8" ht="14.5" x14ac:dyDescent="0.35">
      <c r="A340" s="1" t="s">
        <v>761</v>
      </c>
      <c r="B340" s="2" t="s">
        <v>10</v>
      </c>
      <c r="C340" s="2" t="s">
        <v>762</v>
      </c>
      <c r="D340" s="181" t="s">
        <v>125</v>
      </c>
      <c r="E340" s="181" t="s">
        <v>10</v>
      </c>
      <c r="F340" s="181"/>
      <c r="G340" s="71">
        <v>4</v>
      </c>
      <c r="H340" s="68">
        <v>0</v>
      </c>
    </row>
    <row r="341" spans="1:8" ht="14.5" x14ac:dyDescent="0.35">
      <c r="A341" s="1" t="s">
        <v>764</v>
      </c>
      <c r="B341" s="2" t="s">
        <v>10</v>
      </c>
      <c r="C341" s="2" t="s">
        <v>765</v>
      </c>
      <c r="D341" s="181" t="s">
        <v>125</v>
      </c>
      <c r="E341" s="181" t="s">
        <v>10</v>
      </c>
      <c r="F341" s="181"/>
      <c r="G341" s="71">
        <v>4</v>
      </c>
      <c r="H341" s="68">
        <v>0</v>
      </c>
    </row>
    <row r="342" spans="1:8" ht="14.5" x14ac:dyDescent="0.35">
      <c r="A342" s="1" t="s">
        <v>767</v>
      </c>
      <c r="B342" s="2" t="s">
        <v>10</v>
      </c>
      <c r="C342" s="2" t="s">
        <v>768</v>
      </c>
      <c r="D342" s="181" t="s">
        <v>110</v>
      </c>
      <c r="E342" s="181" t="s">
        <v>10</v>
      </c>
      <c r="F342" s="181"/>
      <c r="G342" s="71">
        <v>1</v>
      </c>
      <c r="H342" s="68">
        <v>0</v>
      </c>
    </row>
    <row r="343" spans="1:8" ht="14.5" x14ac:dyDescent="0.35">
      <c r="A343" s="1" t="s">
        <v>770</v>
      </c>
      <c r="B343" s="2" t="s">
        <v>10</v>
      </c>
      <c r="C343" s="2" t="s">
        <v>771</v>
      </c>
      <c r="D343" s="181" t="s">
        <v>1551</v>
      </c>
      <c r="E343" s="181" t="s">
        <v>10</v>
      </c>
      <c r="F343" s="181"/>
      <c r="G343" s="71">
        <v>5.4</v>
      </c>
      <c r="H343" s="68">
        <v>0</v>
      </c>
    </row>
    <row r="344" spans="1:8" ht="14.5" x14ac:dyDescent="0.35">
      <c r="A344" s="73" t="s">
        <v>10</v>
      </c>
      <c r="B344" s="51" t="s">
        <v>10</v>
      </c>
      <c r="C344" s="51" t="s">
        <v>773</v>
      </c>
      <c r="D344" s="173" t="s">
        <v>774</v>
      </c>
      <c r="E344" s="173"/>
      <c r="F344" s="51" t="s">
        <v>10</v>
      </c>
      <c r="G344" s="36" t="s">
        <v>10</v>
      </c>
      <c r="H344" s="74" t="s">
        <v>10</v>
      </c>
    </row>
    <row r="345" spans="1:8" ht="14.5" x14ac:dyDescent="0.35">
      <c r="A345" s="1" t="s">
        <v>775</v>
      </c>
      <c r="B345" s="2" t="s">
        <v>10</v>
      </c>
      <c r="C345" s="2" t="s">
        <v>776</v>
      </c>
      <c r="D345" s="88" t="s">
        <v>777</v>
      </c>
      <c r="E345" s="88"/>
      <c r="F345" s="2" t="s">
        <v>113</v>
      </c>
      <c r="G345" s="53">
        <v>324.16000000000003</v>
      </c>
      <c r="H345" s="68">
        <v>0</v>
      </c>
    </row>
    <row r="346" spans="1:8" ht="14.5" x14ac:dyDescent="0.35">
      <c r="A346" s="69"/>
      <c r="D346" s="70" t="s">
        <v>1552</v>
      </c>
      <c r="E346" s="180" t="s">
        <v>1553</v>
      </c>
      <c r="F346" s="180"/>
      <c r="G346" s="71">
        <v>292.16000000000003</v>
      </c>
      <c r="H346" s="49"/>
    </row>
    <row r="347" spans="1:8" ht="14.5" x14ac:dyDescent="0.35">
      <c r="A347" s="1" t="s">
        <v>10</v>
      </c>
      <c r="B347" s="2" t="s">
        <v>10</v>
      </c>
      <c r="C347" s="2" t="s">
        <v>10</v>
      </c>
      <c r="D347" s="70" t="s">
        <v>228</v>
      </c>
      <c r="E347" s="180" t="s">
        <v>10</v>
      </c>
      <c r="F347" s="180"/>
      <c r="G347" s="71">
        <v>32</v>
      </c>
      <c r="H347" s="72" t="s">
        <v>10</v>
      </c>
    </row>
    <row r="348" spans="1:8" ht="14.5" x14ac:dyDescent="0.35">
      <c r="A348" s="1" t="s">
        <v>780</v>
      </c>
      <c r="B348" s="2" t="s">
        <v>10</v>
      </c>
      <c r="C348" s="2" t="s">
        <v>781</v>
      </c>
      <c r="D348" s="88" t="s">
        <v>782</v>
      </c>
      <c r="E348" s="88"/>
      <c r="F348" s="2" t="s">
        <v>113</v>
      </c>
      <c r="G348" s="53">
        <v>324</v>
      </c>
      <c r="H348" s="68">
        <v>0</v>
      </c>
    </row>
    <row r="349" spans="1:8" ht="14.5" x14ac:dyDescent="0.35">
      <c r="A349" s="69"/>
      <c r="D349" s="70" t="s">
        <v>1088</v>
      </c>
      <c r="E349" s="180" t="s">
        <v>1554</v>
      </c>
      <c r="F349" s="180"/>
      <c r="G349" s="71">
        <v>292</v>
      </c>
      <c r="H349" s="49"/>
    </row>
    <row r="350" spans="1:8" ht="14.5" x14ac:dyDescent="0.35">
      <c r="A350" s="1" t="s">
        <v>10</v>
      </c>
      <c r="B350" s="2" t="s">
        <v>10</v>
      </c>
      <c r="C350" s="2" t="s">
        <v>10</v>
      </c>
      <c r="D350" s="70" t="s">
        <v>228</v>
      </c>
      <c r="E350" s="180" t="s">
        <v>10</v>
      </c>
      <c r="F350" s="180"/>
      <c r="G350" s="71">
        <v>32</v>
      </c>
      <c r="H350" s="72" t="s">
        <v>10</v>
      </c>
    </row>
    <row r="351" spans="1:8" ht="14.5" x14ac:dyDescent="0.35">
      <c r="A351" s="1" t="s">
        <v>783</v>
      </c>
      <c r="B351" s="2" t="s">
        <v>10</v>
      </c>
      <c r="C351" s="2" t="s">
        <v>784</v>
      </c>
      <c r="D351" s="88" t="s">
        <v>785</v>
      </c>
      <c r="E351" s="88"/>
      <c r="F351" s="2" t="s">
        <v>113</v>
      </c>
      <c r="G351" s="53">
        <v>339</v>
      </c>
      <c r="H351" s="68">
        <v>0</v>
      </c>
    </row>
    <row r="352" spans="1:8" ht="14.5" x14ac:dyDescent="0.35">
      <c r="A352" s="69"/>
      <c r="D352" s="70" t="s">
        <v>588</v>
      </c>
      <c r="E352" s="180" t="s">
        <v>1554</v>
      </c>
      <c r="F352" s="180"/>
      <c r="G352" s="71">
        <v>140</v>
      </c>
      <c r="H352" s="49"/>
    </row>
    <row r="353" spans="1:8" ht="14.5" x14ac:dyDescent="0.35">
      <c r="A353" s="1" t="s">
        <v>10</v>
      </c>
      <c r="B353" s="2" t="s">
        <v>10</v>
      </c>
      <c r="C353" s="2" t="s">
        <v>10</v>
      </c>
      <c r="D353" s="70" t="s">
        <v>335</v>
      </c>
      <c r="E353" s="180" t="s">
        <v>1555</v>
      </c>
      <c r="F353" s="180"/>
      <c r="G353" s="71">
        <v>60</v>
      </c>
      <c r="H353" s="72" t="s">
        <v>10</v>
      </c>
    </row>
    <row r="354" spans="1:8" ht="14.5" x14ac:dyDescent="0.35">
      <c r="A354" s="1" t="s">
        <v>10</v>
      </c>
      <c r="B354" s="2" t="s">
        <v>10</v>
      </c>
      <c r="C354" s="2" t="s">
        <v>10</v>
      </c>
      <c r="D354" s="70" t="s">
        <v>585</v>
      </c>
      <c r="E354" s="180" t="s">
        <v>1556</v>
      </c>
      <c r="F354" s="180"/>
      <c r="G354" s="71">
        <v>139</v>
      </c>
      <c r="H354" s="72" t="s">
        <v>10</v>
      </c>
    </row>
    <row r="355" spans="1:8" ht="14.5" x14ac:dyDescent="0.35">
      <c r="A355" s="1" t="s">
        <v>786</v>
      </c>
      <c r="B355" s="2" t="s">
        <v>10</v>
      </c>
      <c r="C355" s="2" t="s">
        <v>787</v>
      </c>
      <c r="D355" s="88" t="s">
        <v>788</v>
      </c>
      <c r="E355" s="88"/>
      <c r="F355" s="2" t="s">
        <v>113</v>
      </c>
      <c r="G355" s="53">
        <v>324</v>
      </c>
      <c r="H355" s="68">
        <v>0</v>
      </c>
    </row>
    <row r="356" spans="1:8" ht="14.5" x14ac:dyDescent="0.35">
      <c r="A356" s="69"/>
      <c r="D356" s="70" t="s">
        <v>1088</v>
      </c>
      <c r="E356" s="180" t="s">
        <v>1554</v>
      </c>
      <c r="F356" s="180"/>
      <c r="G356" s="71">
        <v>292</v>
      </c>
      <c r="H356" s="49"/>
    </row>
    <row r="357" spans="1:8" ht="14.5" x14ac:dyDescent="0.35">
      <c r="A357" s="1" t="s">
        <v>10</v>
      </c>
      <c r="B357" s="2" t="s">
        <v>10</v>
      </c>
      <c r="C357" s="2" t="s">
        <v>10</v>
      </c>
      <c r="D357" s="70" t="s">
        <v>228</v>
      </c>
      <c r="E357" s="180" t="s">
        <v>10</v>
      </c>
      <c r="F357" s="180"/>
      <c r="G357" s="71">
        <v>32</v>
      </c>
      <c r="H357" s="72" t="s">
        <v>10</v>
      </c>
    </row>
    <row r="358" spans="1:8" ht="14.5" x14ac:dyDescent="0.35">
      <c r="A358" s="1" t="s">
        <v>789</v>
      </c>
      <c r="B358" s="2" t="s">
        <v>10</v>
      </c>
      <c r="C358" s="2" t="s">
        <v>790</v>
      </c>
      <c r="D358" s="181" t="s">
        <v>907</v>
      </c>
      <c r="E358" s="181" t="s">
        <v>10</v>
      </c>
      <c r="F358" s="181"/>
      <c r="G358" s="71">
        <v>240</v>
      </c>
      <c r="H358" s="68">
        <v>0</v>
      </c>
    </row>
    <row r="359" spans="1:8" ht="14.5" x14ac:dyDescent="0.35">
      <c r="A359" s="1" t="s">
        <v>792</v>
      </c>
      <c r="B359" s="2" t="s">
        <v>10</v>
      </c>
      <c r="C359" s="2" t="s">
        <v>793</v>
      </c>
      <c r="D359" s="181" t="s">
        <v>1557</v>
      </c>
      <c r="E359" s="181" t="s">
        <v>10</v>
      </c>
      <c r="F359" s="181"/>
      <c r="G359" s="71">
        <v>3.6</v>
      </c>
      <c r="H359" s="68">
        <v>0</v>
      </c>
    </row>
    <row r="360" spans="1:8" ht="14.5" x14ac:dyDescent="0.35">
      <c r="A360" s="1" t="s">
        <v>795</v>
      </c>
      <c r="B360" s="2" t="s">
        <v>10</v>
      </c>
      <c r="C360" s="2" t="s">
        <v>796</v>
      </c>
      <c r="D360" s="88" t="s">
        <v>797</v>
      </c>
      <c r="E360" s="88"/>
      <c r="F360" s="2" t="s">
        <v>113</v>
      </c>
      <c r="G360" s="53">
        <v>324.2</v>
      </c>
      <c r="H360" s="68">
        <v>0</v>
      </c>
    </row>
    <row r="361" spans="1:8" ht="14.5" x14ac:dyDescent="0.35">
      <c r="A361" s="69"/>
      <c r="D361" s="70" t="s">
        <v>1558</v>
      </c>
      <c r="E361" s="180" t="s">
        <v>1554</v>
      </c>
      <c r="F361" s="180"/>
      <c r="G361" s="71">
        <v>292.2</v>
      </c>
      <c r="H361" s="49"/>
    </row>
    <row r="362" spans="1:8" ht="14.5" x14ac:dyDescent="0.35">
      <c r="A362" s="1" t="s">
        <v>10</v>
      </c>
      <c r="B362" s="2" t="s">
        <v>10</v>
      </c>
      <c r="C362" s="2" t="s">
        <v>10</v>
      </c>
      <c r="D362" s="70" t="s">
        <v>228</v>
      </c>
      <c r="E362" s="180" t="s">
        <v>10</v>
      </c>
      <c r="F362" s="180"/>
      <c r="G362" s="71">
        <v>32</v>
      </c>
      <c r="H362" s="72" t="s">
        <v>10</v>
      </c>
    </row>
    <row r="363" spans="1:8" ht="14.5" x14ac:dyDescent="0.35">
      <c r="A363" s="1" t="s">
        <v>798</v>
      </c>
      <c r="B363" s="2" t="s">
        <v>10</v>
      </c>
      <c r="C363" s="2" t="s">
        <v>799</v>
      </c>
      <c r="D363" s="181" t="s">
        <v>907</v>
      </c>
      <c r="E363" s="181" t="s">
        <v>10</v>
      </c>
      <c r="F363" s="181"/>
      <c r="G363" s="71">
        <v>240</v>
      </c>
      <c r="H363" s="68">
        <v>0</v>
      </c>
    </row>
    <row r="364" spans="1:8" ht="14.5" x14ac:dyDescent="0.35">
      <c r="A364" s="1" t="s">
        <v>801</v>
      </c>
      <c r="B364" s="2" t="s">
        <v>10</v>
      </c>
      <c r="C364" s="2" t="s">
        <v>802</v>
      </c>
      <c r="D364" s="88" t="s">
        <v>803</v>
      </c>
      <c r="E364" s="88"/>
      <c r="F364" s="2" t="s">
        <v>113</v>
      </c>
      <c r="G364" s="53">
        <v>324.2</v>
      </c>
      <c r="H364" s="68">
        <v>0</v>
      </c>
    </row>
    <row r="365" spans="1:8" ht="14.5" x14ac:dyDescent="0.35">
      <c r="A365" s="69"/>
      <c r="D365" s="70" t="s">
        <v>1558</v>
      </c>
      <c r="E365" s="180" t="s">
        <v>1554</v>
      </c>
      <c r="F365" s="180"/>
      <c r="G365" s="71">
        <v>292.2</v>
      </c>
      <c r="H365" s="49"/>
    </row>
    <row r="366" spans="1:8" ht="14.5" x14ac:dyDescent="0.35">
      <c r="A366" s="1" t="s">
        <v>10</v>
      </c>
      <c r="B366" s="2" t="s">
        <v>10</v>
      </c>
      <c r="C366" s="2" t="s">
        <v>10</v>
      </c>
      <c r="D366" s="70" t="s">
        <v>228</v>
      </c>
      <c r="E366" s="180" t="s">
        <v>10</v>
      </c>
      <c r="F366" s="180"/>
      <c r="G366" s="71">
        <v>32</v>
      </c>
      <c r="H366" s="72" t="s">
        <v>10</v>
      </c>
    </row>
    <row r="367" spans="1:8" ht="14.5" x14ac:dyDescent="0.35">
      <c r="A367" s="1" t="s">
        <v>804</v>
      </c>
      <c r="B367" s="2" t="s">
        <v>10</v>
      </c>
      <c r="C367" s="2" t="s">
        <v>805</v>
      </c>
      <c r="D367" s="88" t="s">
        <v>806</v>
      </c>
      <c r="E367" s="88"/>
      <c r="F367" s="2" t="s">
        <v>113</v>
      </c>
      <c r="G367" s="53">
        <v>384.34</v>
      </c>
      <c r="H367" s="68">
        <v>0</v>
      </c>
    </row>
    <row r="368" spans="1:8" ht="14.5" x14ac:dyDescent="0.35">
      <c r="A368" s="69"/>
      <c r="D368" s="70" t="s">
        <v>1559</v>
      </c>
      <c r="E368" s="180" t="s">
        <v>10</v>
      </c>
      <c r="F368" s="180"/>
      <c r="G368" s="71">
        <v>349.4</v>
      </c>
      <c r="H368" s="49"/>
    </row>
    <row r="369" spans="1:8" ht="14.5" x14ac:dyDescent="0.35">
      <c r="A369" s="1" t="s">
        <v>10</v>
      </c>
      <c r="B369" s="2" t="s">
        <v>10</v>
      </c>
      <c r="C369" s="2" t="s">
        <v>10</v>
      </c>
      <c r="D369" s="70" t="s">
        <v>1560</v>
      </c>
      <c r="E369" s="180" t="s">
        <v>10</v>
      </c>
      <c r="F369" s="180"/>
      <c r="G369" s="71">
        <v>34.94</v>
      </c>
      <c r="H369" s="72" t="s">
        <v>10</v>
      </c>
    </row>
    <row r="370" spans="1:8" ht="14.5" x14ac:dyDescent="0.35">
      <c r="A370" s="1" t="s">
        <v>807</v>
      </c>
      <c r="B370" s="2" t="s">
        <v>10</v>
      </c>
      <c r="C370" s="2" t="s">
        <v>808</v>
      </c>
      <c r="D370" s="88" t="s">
        <v>809</v>
      </c>
      <c r="E370" s="88"/>
      <c r="F370" s="2" t="s">
        <v>137</v>
      </c>
      <c r="G370" s="53">
        <v>254</v>
      </c>
      <c r="H370" s="68">
        <v>0</v>
      </c>
    </row>
    <row r="371" spans="1:8" ht="14.5" x14ac:dyDescent="0.35">
      <c r="A371" s="69"/>
      <c r="D371" s="70" t="s">
        <v>865</v>
      </c>
      <c r="E371" s="180" t="s">
        <v>10</v>
      </c>
      <c r="F371" s="180"/>
      <c r="G371" s="71">
        <v>227</v>
      </c>
      <c r="H371" s="49"/>
    </row>
    <row r="372" spans="1:8" ht="14.5" x14ac:dyDescent="0.35">
      <c r="A372" s="1" t="s">
        <v>10</v>
      </c>
      <c r="B372" s="2" t="s">
        <v>10</v>
      </c>
      <c r="C372" s="2" t="s">
        <v>10</v>
      </c>
      <c r="D372" s="70" t="s">
        <v>205</v>
      </c>
      <c r="E372" s="180" t="s">
        <v>10</v>
      </c>
      <c r="F372" s="180"/>
      <c r="G372" s="71">
        <v>27</v>
      </c>
      <c r="H372" s="72" t="s">
        <v>10</v>
      </c>
    </row>
    <row r="373" spans="1:8" ht="14.5" x14ac:dyDescent="0.35">
      <c r="A373" s="1" t="s">
        <v>810</v>
      </c>
      <c r="B373" s="2" t="s">
        <v>10</v>
      </c>
      <c r="C373" s="2" t="s">
        <v>811</v>
      </c>
      <c r="D373" s="181" t="s">
        <v>166</v>
      </c>
      <c r="E373" s="181" t="s">
        <v>10</v>
      </c>
      <c r="F373" s="181"/>
      <c r="G373" s="71">
        <v>16</v>
      </c>
      <c r="H373" s="68">
        <v>0</v>
      </c>
    </row>
    <row r="374" spans="1:8" ht="14.5" x14ac:dyDescent="0.35">
      <c r="A374" s="73" t="s">
        <v>10</v>
      </c>
      <c r="B374" s="51" t="s">
        <v>10</v>
      </c>
      <c r="C374" s="51" t="s">
        <v>813</v>
      </c>
      <c r="D374" s="173" t="s">
        <v>814</v>
      </c>
      <c r="E374" s="173"/>
      <c r="F374" s="51" t="s">
        <v>10</v>
      </c>
      <c r="G374" s="36" t="s">
        <v>10</v>
      </c>
      <c r="H374" s="74" t="s">
        <v>10</v>
      </c>
    </row>
    <row r="375" spans="1:8" ht="14.5" x14ac:dyDescent="0.35">
      <c r="A375" s="1" t="s">
        <v>815</v>
      </c>
      <c r="B375" s="2" t="s">
        <v>10</v>
      </c>
      <c r="C375" s="2" t="s">
        <v>816</v>
      </c>
      <c r="D375" s="88" t="s">
        <v>817</v>
      </c>
      <c r="E375" s="88"/>
      <c r="F375" s="2" t="s">
        <v>113</v>
      </c>
      <c r="G375" s="53">
        <v>276.5</v>
      </c>
      <c r="H375" s="68">
        <v>0</v>
      </c>
    </row>
    <row r="376" spans="1:8" ht="14.5" x14ac:dyDescent="0.35">
      <c r="A376" s="69"/>
      <c r="D376" s="70" t="s">
        <v>1561</v>
      </c>
      <c r="E376" s="180" t="s">
        <v>10</v>
      </c>
      <c r="F376" s="180"/>
      <c r="G376" s="71">
        <v>17.8</v>
      </c>
      <c r="H376" s="49"/>
    </row>
    <row r="377" spans="1:8" ht="14.5" x14ac:dyDescent="0.35">
      <c r="A377" s="1" t="s">
        <v>10</v>
      </c>
      <c r="B377" s="2" t="s">
        <v>10</v>
      </c>
      <c r="C377" s="2" t="s">
        <v>10</v>
      </c>
      <c r="D377" s="70" t="s">
        <v>1562</v>
      </c>
      <c r="E377" s="180" t="s">
        <v>10</v>
      </c>
      <c r="F377" s="180"/>
      <c r="G377" s="71">
        <v>235.7</v>
      </c>
      <c r="H377" s="72" t="s">
        <v>10</v>
      </c>
    </row>
    <row r="378" spans="1:8" ht="14.5" x14ac:dyDescent="0.35">
      <c r="A378" s="1" t="s">
        <v>10</v>
      </c>
      <c r="B378" s="2" t="s">
        <v>10</v>
      </c>
      <c r="C378" s="2" t="s">
        <v>10</v>
      </c>
      <c r="D378" s="70" t="s">
        <v>191</v>
      </c>
      <c r="E378" s="180" t="s">
        <v>10</v>
      </c>
      <c r="F378" s="180"/>
      <c r="G378" s="71">
        <v>23</v>
      </c>
      <c r="H378" s="72" t="s">
        <v>10</v>
      </c>
    </row>
    <row r="379" spans="1:8" ht="14.5" x14ac:dyDescent="0.35">
      <c r="A379" s="1" t="s">
        <v>819</v>
      </c>
      <c r="B379" s="2" t="s">
        <v>10</v>
      </c>
      <c r="C379" s="2" t="s">
        <v>820</v>
      </c>
      <c r="D379" s="88" t="s">
        <v>821</v>
      </c>
      <c r="E379" s="88"/>
      <c r="F379" s="2" t="s">
        <v>113</v>
      </c>
      <c r="G379" s="53">
        <v>415.5</v>
      </c>
      <c r="H379" s="68">
        <v>0</v>
      </c>
    </row>
    <row r="380" spans="1:8" ht="14.5" x14ac:dyDescent="0.35">
      <c r="A380" s="69"/>
      <c r="D380" s="70" t="s">
        <v>1563</v>
      </c>
      <c r="E380" s="180" t="s">
        <v>10</v>
      </c>
      <c r="F380" s="180"/>
      <c r="G380" s="71">
        <v>253.5</v>
      </c>
      <c r="H380" s="49"/>
    </row>
    <row r="381" spans="1:8" ht="14.5" x14ac:dyDescent="0.35">
      <c r="A381" s="1" t="s">
        <v>10</v>
      </c>
      <c r="B381" s="2" t="s">
        <v>10</v>
      </c>
      <c r="C381" s="2" t="s">
        <v>10</v>
      </c>
      <c r="D381" s="70" t="s">
        <v>191</v>
      </c>
      <c r="E381" s="180" t="s">
        <v>10</v>
      </c>
      <c r="F381" s="180"/>
      <c r="G381" s="71">
        <v>23</v>
      </c>
      <c r="H381" s="72" t="s">
        <v>10</v>
      </c>
    </row>
    <row r="382" spans="1:8" ht="14.5" x14ac:dyDescent="0.35">
      <c r="A382" s="1" t="s">
        <v>10</v>
      </c>
      <c r="B382" s="2" t="s">
        <v>10</v>
      </c>
      <c r="C382" s="2" t="s">
        <v>10</v>
      </c>
      <c r="D382" s="70" t="s">
        <v>585</v>
      </c>
      <c r="E382" s="180" t="s">
        <v>10</v>
      </c>
      <c r="F382" s="180"/>
      <c r="G382" s="71">
        <v>139</v>
      </c>
      <c r="H382" s="72" t="s">
        <v>10</v>
      </c>
    </row>
    <row r="383" spans="1:8" ht="14.5" x14ac:dyDescent="0.35">
      <c r="A383" s="1" t="s">
        <v>822</v>
      </c>
      <c r="B383" s="2" t="s">
        <v>10</v>
      </c>
      <c r="C383" s="2" t="s">
        <v>823</v>
      </c>
      <c r="D383" s="88" t="s">
        <v>824</v>
      </c>
      <c r="E383" s="88"/>
      <c r="F383" s="2" t="s">
        <v>113</v>
      </c>
      <c r="G383" s="53">
        <v>415.5</v>
      </c>
      <c r="H383" s="68">
        <v>0</v>
      </c>
    </row>
    <row r="384" spans="1:8" ht="14.5" x14ac:dyDescent="0.35">
      <c r="A384" s="69"/>
      <c r="D384" s="70" t="s">
        <v>1563</v>
      </c>
      <c r="E384" s="180" t="s">
        <v>10</v>
      </c>
      <c r="F384" s="180"/>
      <c r="G384" s="71">
        <v>253.5</v>
      </c>
      <c r="H384" s="49"/>
    </row>
    <row r="385" spans="1:8" ht="14.5" x14ac:dyDescent="0.35">
      <c r="A385" s="1" t="s">
        <v>10</v>
      </c>
      <c r="B385" s="2" t="s">
        <v>10</v>
      </c>
      <c r="C385" s="2" t="s">
        <v>10</v>
      </c>
      <c r="D385" s="70" t="s">
        <v>191</v>
      </c>
      <c r="E385" s="180" t="s">
        <v>10</v>
      </c>
      <c r="F385" s="180"/>
      <c r="G385" s="71">
        <v>23</v>
      </c>
      <c r="H385" s="72" t="s">
        <v>10</v>
      </c>
    </row>
    <row r="386" spans="1:8" ht="14.5" x14ac:dyDescent="0.35">
      <c r="A386" s="1" t="s">
        <v>10</v>
      </c>
      <c r="B386" s="2" t="s">
        <v>10</v>
      </c>
      <c r="C386" s="2" t="s">
        <v>10</v>
      </c>
      <c r="D386" s="70" t="s">
        <v>585</v>
      </c>
      <c r="E386" s="180" t="s">
        <v>10</v>
      </c>
      <c r="F386" s="180"/>
      <c r="G386" s="71">
        <v>139</v>
      </c>
      <c r="H386" s="72" t="s">
        <v>10</v>
      </c>
    </row>
    <row r="387" spans="1:8" ht="14.5" x14ac:dyDescent="0.35">
      <c r="A387" s="1" t="s">
        <v>825</v>
      </c>
      <c r="B387" s="2" t="s">
        <v>10</v>
      </c>
      <c r="C387" s="2" t="s">
        <v>826</v>
      </c>
      <c r="D387" s="88" t="s">
        <v>827</v>
      </c>
      <c r="E387" s="88"/>
      <c r="F387" s="2" t="s">
        <v>113</v>
      </c>
      <c r="G387" s="53">
        <v>415.5</v>
      </c>
      <c r="H387" s="68">
        <v>0</v>
      </c>
    </row>
    <row r="388" spans="1:8" ht="14.5" x14ac:dyDescent="0.35">
      <c r="A388" s="69"/>
      <c r="D388" s="70" t="s">
        <v>1563</v>
      </c>
      <c r="E388" s="180" t="s">
        <v>10</v>
      </c>
      <c r="F388" s="180"/>
      <c r="G388" s="71">
        <v>253.5</v>
      </c>
      <c r="H388" s="49"/>
    </row>
    <row r="389" spans="1:8" ht="14.5" x14ac:dyDescent="0.35">
      <c r="A389" s="1" t="s">
        <v>10</v>
      </c>
      <c r="B389" s="2" t="s">
        <v>10</v>
      </c>
      <c r="C389" s="2" t="s">
        <v>10</v>
      </c>
      <c r="D389" s="70" t="s">
        <v>191</v>
      </c>
      <c r="E389" s="180" t="s">
        <v>10</v>
      </c>
      <c r="F389" s="180"/>
      <c r="G389" s="71">
        <v>23</v>
      </c>
      <c r="H389" s="72" t="s">
        <v>10</v>
      </c>
    </row>
    <row r="390" spans="1:8" ht="14.5" x14ac:dyDescent="0.35">
      <c r="A390" s="1" t="s">
        <v>10</v>
      </c>
      <c r="B390" s="2" t="s">
        <v>10</v>
      </c>
      <c r="C390" s="2" t="s">
        <v>10</v>
      </c>
      <c r="D390" s="70" t="s">
        <v>585</v>
      </c>
      <c r="E390" s="180" t="s">
        <v>10</v>
      </c>
      <c r="F390" s="180"/>
      <c r="G390" s="71">
        <v>139</v>
      </c>
      <c r="H390" s="72" t="s">
        <v>10</v>
      </c>
    </row>
    <row r="391" spans="1:8" ht="14.5" x14ac:dyDescent="0.35">
      <c r="A391" s="1" t="s">
        <v>828</v>
      </c>
      <c r="B391" s="2" t="s">
        <v>10</v>
      </c>
      <c r="C391" s="2" t="s">
        <v>829</v>
      </c>
      <c r="D391" s="181" t="s">
        <v>523</v>
      </c>
      <c r="E391" s="181" t="s">
        <v>10</v>
      </c>
      <c r="F391" s="181"/>
      <c r="G391" s="71">
        <v>120</v>
      </c>
      <c r="H391" s="68">
        <v>0</v>
      </c>
    </row>
    <row r="392" spans="1:8" ht="14.5" x14ac:dyDescent="0.35">
      <c r="A392" s="1" t="s">
        <v>831</v>
      </c>
      <c r="B392" s="2" t="s">
        <v>10</v>
      </c>
      <c r="C392" s="2" t="s">
        <v>832</v>
      </c>
      <c r="D392" s="181" t="s">
        <v>1564</v>
      </c>
      <c r="E392" s="181" t="s">
        <v>10</v>
      </c>
      <c r="F392" s="181"/>
      <c r="G392" s="71">
        <v>19</v>
      </c>
      <c r="H392" s="68">
        <v>0</v>
      </c>
    </row>
    <row r="393" spans="1:8" ht="14.5" x14ac:dyDescent="0.35">
      <c r="A393" s="1" t="s">
        <v>834</v>
      </c>
      <c r="B393" s="2" t="s">
        <v>10</v>
      </c>
      <c r="C393" s="2" t="s">
        <v>835</v>
      </c>
      <c r="D393" s="181" t="s">
        <v>1564</v>
      </c>
      <c r="E393" s="181" t="s">
        <v>10</v>
      </c>
      <c r="F393" s="181"/>
      <c r="G393" s="71">
        <v>19</v>
      </c>
      <c r="H393" s="68">
        <v>0</v>
      </c>
    </row>
    <row r="394" spans="1:8" ht="14.5" x14ac:dyDescent="0.35">
      <c r="A394" s="1" t="s">
        <v>837</v>
      </c>
      <c r="B394" s="2" t="s">
        <v>10</v>
      </c>
      <c r="C394" s="2" t="s">
        <v>838</v>
      </c>
      <c r="D394" s="181" t="s">
        <v>1564</v>
      </c>
      <c r="E394" s="181" t="s">
        <v>10</v>
      </c>
      <c r="F394" s="181"/>
      <c r="G394" s="71">
        <v>19</v>
      </c>
      <c r="H394" s="68">
        <v>0</v>
      </c>
    </row>
    <row r="395" spans="1:8" ht="14.5" x14ac:dyDescent="0.35">
      <c r="A395" s="1" t="s">
        <v>840</v>
      </c>
      <c r="B395" s="2" t="s">
        <v>10</v>
      </c>
      <c r="C395" s="2" t="s">
        <v>841</v>
      </c>
      <c r="D395" s="181" t="s">
        <v>191</v>
      </c>
      <c r="E395" s="181" t="s">
        <v>1533</v>
      </c>
      <c r="F395" s="181"/>
      <c r="G395" s="71">
        <v>23</v>
      </c>
      <c r="H395" s="68">
        <v>0</v>
      </c>
    </row>
    <row r="396" spans="1:8" ht="14.5" x14ac:dyDescent="0.35">
      <c r="A396" s="1" t="s">
        <v>843</v>
      </c>
      <c r="B396" s="2" t="s">
        <v>10</v>
      </c>
      <c r="C396" s="2" t="s">
        <v>844</v>
      </c>
      <c r="D396" s="88" t="s">
        <v>845</v>
      </c>
      <c r="E396" s="88"/>
      <c r="F396" s="2" t="s">
        <v>137</v>
      </c>
      <c r="G396" s="53">
        <v>108</v>
      </c>
      <c r="H396" s="68">
        <v>0</v>
      </c>
    </row>
    <row r="397" spans="1:8" ht="14.5" x14ac:dyDescent="0.35">
      <c r="A397" s="69"/>
      <c r="D397" s="70" t="s">
        <v>180</v>
      </c>
      <c r="E397" s="180" t="s">
        <v>10</v>
      </c>
      <c r="F397" s="180"/>
      <c r="G397" s="71">
        <v>20</v>
      </c>
      <c r="H397" s="49"/>
    </row>
    <row r="398" spans="1:8" ht="14.5" x14ac:dyDescent="0.35">
      <c r="A398" s="1" t="s">
        <v>10</v>
      </c>
      <c r="B398" s="2" t="s">
        <v>10</v>
      </c>
      <c r="C398" s="2" t="s">
        <v>10</v>
      </c>
      <c r="D398" s="70" t="s">
        <v>1565</v>
      </c>
      <c r="E398" s="180" t="s">
        <v>10</v>
      </c>
      <c r="F398" s="180"/>
      <c r="G398" s="71">
        <v>88</v>
      </c>
      <c r="H398" s="72" t="s">
        <v>10</v>
      </c>
    </row>
    <row r="399" spans="1:8" ht="14.5" x14ac:dyDescent="0.35">
      <c r="A399" s="1" t="s">
        <v>846</v>
      </c>
      <c r="B399" s="2" t="s">
        <v>10</v>
      </c>
      <c r="C399" s="2" t="s">
        <v>847</v>
      </c>
      <c r="D399" s="181" t="s">
        <v>1566</v>
      </c>
      <c r="E399" s="181" t="s">
        <v>10</v>
      </c>
      <c r="F399" s="181"/>
      <c r="G399" s="71">
        <v>265</v>
      </c>
      <c r="H399" s="68">
        <v>0</v>
      </c>
    </row>
    <row r="400" spans="1:8" ht="14.5" x14ac:dyDescent="0.35">
      <c r="A400" s="1" t="s">
        <v>849</v>
      </c>
      <c r="B400" s="2" t="s">
        <v>10</v>
      </c>
      <c r="C400" s="2" t="s">
        <v>850</v>
      </c>
      <c r="D400" s="181" t="s">
        <v>585</v>
      </c>
      <c r="E400" s="181" t="s">
        <v>10</v>
      </c>
      <c r="F400" s="181"/>
      <c r="G400" s="71">
        <v>139</v>
      </c>
      <c r="H400" s="68">
        <v>0</v>
      </c>
    </row>
    <row r="401" spans="1:8" ht="14.5" x14ac:dyDescent="0.35">
      <c r="A401" s="1" t="s">
        <v>852</v>
      </c>
      <c r="B401" s="2" t="s">
        <v>10</v>
      </c>
      <c r="C401" s="2" t="s">
        <v>853</v>
      </c>
      <c r="D401" s="181" t="s">
        <v>1567</v>
      </c>
      <c r="E401" s="181" t="s">
        <v>10</v>
      </c>
      <c r="F401" s="181"/>
      <c r="G401" s="71">
        <v>67</v>
      </c>
      <c r="H401" s="68">
        <v>0</v>
      </c>
    </row>
    <row r="402" spans="1:8" ht="14.5" x14ac:dyDescent="0.35">
      <c r="A402" s="1" t="s">
        <v>855</v>
      </c>
      <c r="B402" s="2" t="s">
        <v>10</v>
      </c>
      <c r="C402" s="2" t="s">
        <v>856</v>
      </c>
      <c r="D402" s="181" t="s">
        <v>1568</v>
      </c>
      <c r="E402" s="181" t="s">
        <v>10</v>
      </c>
      <c r="F402" s="181"/>
      <c r="G402" s="71">
        <v>94.1</v>
      </c>
      <c r="H402" s="68">
        <v>0</v>
      </c>
    </row>
    <row r="403" spans="1:8" ht="14.5" x14ac:dyDescent="0.35">
      <c r="A403" s="73" t="s">
        <v>10</v>
      </c>
      <c r="B403" s="51" t="s">
        <v>10</v>
      </c>
      <c r="C403" s="51" t="s">
        <v>858</v>
      </c>
      <c r="D403" s="173" t="s">
        <v>859</v>
      </c>
      <c r="E403" s="173"/>
      <c r="F403" s="51" t="s">
        <v>10</v>
      </c>
      <c r="G403" s="36" t="s">
        <v>10</v>
      </c>
      <c r="H403" s="74" t="s">
        <v>10</v>
      </c>
    </row>
    <row r="404" spans="1:8" ht="14.5" x14ac:dyDescent="0.35">
      <c r="A404" s="1" t="s">
        <v>860</v>
      </c>
      <c r="B404" s="2" t="s">
        <v>10</v>
      </c>
      <c r="C404" s="2" t="s">
        <v>861</v>
      </c>
      <c r="D404" s="88" t="s">
        <v>862</v>
      </c>
      <c r="E404" s="88"/>
      <c r="F404" s="2" t="s">
        <v>113</v>
      </c>
      <c r="G404" s="53">
        <v>545</v>
      </c>
      <c r="H404" s="68">
        <v>0</v>
      </c>
    </row>
    <row r="405" spans="1:8" ht="14.5" x14ac:dyDescent="0.35">
      <c r="A405" s="69"/>
      <c r="D405" s="70" t="s">
        <v>1569</v>
      </c>
      <c r="E405" s="180" t="s">
        <v>1553</v>
      </c>
      <c r="F405" s="180"/>
      <c r="G405" s="71">
        <v>314</v>
      </c>
      <c r="H405" s="49"/>
    </row>
    <row r="406" spans="1:8" ht="14.5" x14ac:dyDescent="0.35">
      <c r="A406" s="1" t="s">
        <v>10</v>
      </c>
      <c r="B406" s="2" t="s">
        <v>10</v>
      </c>
      <c r="C406" s="2" t="s">
        <v>10</v>
      </c>
      <c r="D406" s="70" t="s">
        <v>877</v>
      </c>
      <c r="E406" s="180" t="s">
        <v>10</v>
      </c>
      <c r="F406" s="180"/>
      <c r="G406" s="71">
        <v>231</v>
      </c>
      <c r="H406" s="72" t="s">
        <v>10</v>
      </c>
    </row>
    <row r="407" spans="1:8" ht="14.5" x14ac:dyDescent="0.35">
      <c r="A407" s="1" t="s">
        <v>865</v>
      </c>
      <c r="B407" s="2" t="s">
        <v>10</v>
      </c>
      <c r="C407" s="2" t="s">
        <v>866</v>
      </c>
      <c r="D407" s="181" t="s">
        <v>1570</v>
      </c>
      <c r="E407" s="181" t="s">
        <v>10</v>
      </c>
      <c r="F407" s="181"/>
      <c r="G407" s="71">
        <v>545</v>
      </c>
      <c r="H407" s="68">
        <v>0</v>
      </c>
    </row>
    <row r="408" spans="1:8" ht="14.5" x14ac:dyDescent="0.35">
      <c r="A408" s="1" t="s">
        <v>868</v>
      </c>
      <c r="B408" s="2" t="s">
        <v>10</v>
      </c>
      <c r="C408" s="2" t="s">
        <v>869</v>
      </c>
      <c r="D408" s="181" t="s">
        <v>362</v>
      </c>
      <c r="E408" s="181" t="s">
        <v>10</v>
      </c>
      <c r="F408" s="181"/>
      <c r="G408" s="71">
        <v>70</v>
      </c>
      <c r="H408" s="68">
        <v>0</v>
      </c>
    </row>
    <row r="409" spans="1:8" ht="14.5" x14ac:dyDescent="0.35">
      <c r="A409" s="1" t="s">
        <v>871</v>
      </c>
      <c r="B409" s="2" t="s">
        <v>10</v>
      </c>
      <c r="C409" s="2" t="s">
        <v>872</v>
      </c>
      <c r="D409" s="88" t="s">
        <v>873</v>
      </c>
      <c r="E409" s="88"/>
      <c r="F409" s="2" t="s">
        <v>137</v>
      </c>
      <c r="G409" s="53">
        <v>74.400000000000006</v>
      </c>
      <c r="H409" s="68">
        <v>0</v>
      </c>
    </row>
    <row r="410" spans="1:8" ht="14.5" x14ac:dyDescent="0.35">
      <c r="A410" s="69"/>
      <c r="D410" s="70" t="s">
        <v>1571</v>
      </c>
      <c r="E410" s="180" t="s">
        <v>10</v>
      </c>
      <c r="F410" s="180"/>
      <c r="G410" s="71">
        <v>38.4</v>
      </c>
      <c r="H410" s="49"/>
    </row>
    <row r="411" spans="1:8" ht="14.5" x14ac:dyDescent="0.35">
      <c r="A411" s="1" t="s">
        <v>10</v>
      </c>
      <c r="B411" s="2" t="s">
        <v>10</v>
      </c>
      <c r="C411" s="2" t="s">
        <v>10</v>
      </c>
      <c r="D411" s="70" t="s">
        <v>1572</v>
      </c>
      <c r="E411" s="180" t="s">
        <v>10</v>
      </c>
      <c r="F411" s="180"/>
      <c r="G411" s="71">
        <v>36</v>
      </c>
      <c r="H411" s="72" t="s">
        <v>10</v>
      </c>
    </row>
    <row r="412" spans="1:8" ht="14.5" x14ac:dyDescent="0.35">
      <c r="A412" s="1" t="s">
        <v>874</v>
      </c>
      <c r="B412" s="2" t="s">
        <v>10</v>
      </c>
      <c r="C412" s="2" t="s">
        <v>875</v>
      </c>
      <c r="D412" s="181" t="s">
        <v>1570</v>
      </c>
      <c r="E412" s="181" t="s">
        <v>10</v>
      </c>
      <c r="F412" s="181"/>
      <c r="G412" s="71">
        <v>545</v>
      </c>
      <c r="H412" s="68">
        <v>0</v>
      </c>
    </row>
    <row r="413" spans="1:8" ht="14.5" x14ac:dyDescent="0.35">
      <c r="A413" s="1" t="s">
        <v>877</v>
      </c>
      <c r="B413" s="2" t="s">
        <v>10</v>
      </c>
      <c r="C413" s="2" t="s">
        <v>878</v>
      </c>
      <c r="D413" s="181" t="s">
        <v>459</v>
      </c>
      <c r="E413" s="181" t="s">
        <v>10</v>
      </c>
      <c r="F413" s="181"/>
      <c r="G413" s="71">
        <v>100</v>
      </c>
      <c r="H413" s="68">
        <v>0</v>
      </c>
    </row>
    <row r="414" spans="1:8" ht="14.5" x14ac:dyDescent="0.35">
      <c r="A414" s="1" t="s">
        <v>880</v>
      </c>
      <c r="B414" s="2" t="s">
        <v>10</v>
      </c>
      <c r="C414" s="2" t="s">
        <v>881</v>
      </c>
      <c r="D414" s="181" t="s">
        <v>1570</v>
      </c>
      <c r="E414" s="181" t="s">
        <v>10</v>
      </c>
      <c r="F414" s="181"/>
      <c r="G414" s="71">
        <v>545</v>
      </c>
      <c r="H414" s="68">
        <v>0</v>
      </c>
    </row>
    <row r="415" spans="1:8" ht="14.5" x14ac:dyDescent="0.35">
      <c r="A415" s="1" t="s">
        <v>883</v>
      </c>
      <c r="B415" s="2" t="s">
        <v>10</v>
      </c>
      <c r="C415" s="2" t="s">
        <v>884</v>
      </c>
      <c r="D415" s="88" t="s">
        <v>885</v>
      </c>
      <c r="E415" s="88"/>
      <c r="F415" s="2" t="s">
        <v>113</v>
      </c>
      <c r="G415" s="53">
        <v>599.5</v>
      </c>
      <c r="H415" s="68">
        <v>0</v>
      </c>
    </row>
    <row r="416" spans="1:8" ht="14.5" x14ac:dyDescent="0.35">
      <c r="A416" s="69"/>
      <c r="D416" s="70" t="s">
        <v>1570</v>
      </c>
      <c r="E416" s="180" t="s">
        <v>10</v>
      </c>
      <c r="F416" s="180"/>
      <c r="G416" s="71">
        <v>545</v>
      </c>
      <c r="H416" s="49"/>
    </row>
    <row r="417" spans="1:8" ht="14.5" x14ac:dyDescent="0.35">
      <c r="A417" s="1" t="s">
        <v>10</v>
      </c>
      <c r="B417" s="2" t="s">
        <v>10</v>
      </c>
      <c r="C417" s="2" t="s">
        <v>10</v>
      </c>
      <c r="D417" s="70" t="s">
        <v>1573</v>
      </c>
      <c r="E417" s="180" t="s">
        <v>10</v>
      </c>
      <c r="F417" s="180"/>
      <c r="G417" s="71">
        <v>54.5</v>
      </c>
      <c r="H417" s="72" t="s">
        <v>10</v>
      </c>
    </row>
    <row r="418" spans="1:8" ht="14.5" x14ac:dyDescent="0.35">
      <c r="A418" s="1" t="s">
        <v>886</v>
      </c>
      <c r="B418" s="2" t="s">
        <v>10</v>
      </c>
      <c r="C418" s="2" t="s">
        <v>887</v>
      </c>
      <c r="D418" s="88" t="s">
        <v>888</v>
      </c>
      <c r="E418" s="88"/>
      <c r="F418" s="2" t="s">
        <v>137</v>
      </c>
      <c r="G418" s="53">
        <v>56</v>
      </c>
      <c r="H418" s="68">
        <v>0</v>
      </c>
    </row>
    <row r="419" spans="1:8" ht="14.5" x14ac:dyDescent="0.35">
      <c r="A419" s="69"/>
      <c r="D419" s="70" t="s">
        <v>1574</v>
      </c>
      <c r="E419" s="180" t="s">
        <v>10</v>
      </c>
      <c r="F419" s="180"/>
      <c r="G419" s="71">
        <v>32</v>
      </c>
      <c r="H419" s="49"/>
    </row>
    <row r="420" spans="1:8" ht="14.5" x14ac:dyDescent="0.35">
      <c r="A420" s="1" t="s">
        <v>10</v>
      </c>
      <c r="B420" s="2" t="s">
        <v>10</v>
      </c>
      <c r="C420" s="2" t="s">
        <v>10</v>
      </c>
      <c r="D420" s="70" t="s">
        <v>1575</v>
      </c>
      <c r="E420" s="180" t="s">
        <v>10</v>
      </c>
      <c r="F420" s="180"/>
      <c r="G420" s="71">
        <v>24</v>
      </c>
      <c r="H420" s="72" t="s">
        <v>10</v>
      </c>
    </row>
    <row r="421" spans="1:8" ht="14.5" x14ac:dyDescent="0.35">
      <c r="A421" s="73" t="s">
        <v>10</v>
      </c>
      <c r="B421" s="51" t="s">
        <v>10</v>
      </c>
      <c r="C421" s="51" t="s">
        <v>889</v>
      </c>
      <c r="D421" s="173" t="s">
        <v>890</v>
      </c>
      <c r="E421" s="173"/>
      <c r="F421" s="51" t="s">
        <v>10</v>
      </c>
      <c r="G421" s="36" t="s">
        <v>10</v>
      </c>
      <c r="H421" s="74" t="s">
        <v>10</v>
      </c>
    </row>
    <row r="422" spans="1:8" ht="14.5" x14ac:dyDescent="0.35">
      <c r="A422" s="1" t="s">
        <v>891</v>
      </c>
      <c r="B422" s="2" t="s">
        <v>10</v>
      </c>
      <c r="C422" s="2" t="s">
        <v>892</v>
      </c>
      <c r="D422" s="181" t="s">
        <v>1493</v>
      </c>
      <c r="E422" s="181" t="s">
        <v>10</v>
      </c>
      <c r="F422" s="181"/>
      <c r="G422" s="71">
        <v>176</v>
      </c>
      <c r="H422" s="68">
        <v>0</v>
      </c>
    </row>
    <row r="423" spans="1:8" ht="14.5" x14ac:dyDescent="0.35">
      <c r="A423" s="1" t="s">
        <v>895</v>
      </c>
      <c r="B423" s="2" t="s">
        <v>10</v>
      </c>
      <c r="C423" s="2" t="s">
        <v>896</v>
      </c>
      <c r="D423" s="88" t="s">
        <v>897</v>
      </c>
      <c r="E423" s="88"/>
      <c r="F423" s="2" t="s">
        <v>113</v>
      </c>
      <c r="G423" s="53">
        <v>29</v>
      </c>
      <c r="H423" s="68">
        <v>0</v>
      </c>
    </row>
    <row r="424" spans="1:8" ht="14.5" x14ac:dyDescent="0.35">
      <c r="A424" s="69"/>
      <c r="D424" s="70" t="s">
        <v>118</v>
      </c>
      <c r="E424" s="180" t="s">
        <v>1576</v>
      </c>
      <c r="F424" s="180"/>
      <c r="G424" s="71">
        <v>2</v>
      </c>
      <c r="H424" s="49"/>
    </row>
    <row r="425" spans="1:8" ht="14.5" x14ac:dyDescent="0.35">
      <c r="A425" s="1" t="s">
        <v>10</v>
      </c>
      <c r="B425" s="2" t="s">
        <v>10</v>
      </c>
      <c r="C425" s="2" t="s">
        <v>10</v>
      </c>
      <c r="D425" s="70" t="s">
        <v>118</v>
      </c>
      <c r="E425" s="180" t="s">
        <v>1577</v>
      </c>
      <c r="F425" s="180"/>
      <c r="G425" s="71">
        <v>2</v>
      </c>
      <c r="H425" s="72" t="s">
        <v>10</v>
      </c>
    </row>
    <row r="426" spans="1:8" ht="14.5" x14ac:dyDescent="0.35">
      <c r="A426" s="1" t="s">
        <v>10</v>
      </c>
      <c r="B426" s="2" t="s">
        <v>10</v>
      </c>
      <c r="C426" s="2" t="s">
        <v>10</v>
      </c>
      <c r="D426" s="70" t="s">
        <v>198</v>
      </c>
      <c r="E426" s="180" t="s">
        <v>1578</v>
      </c>
      <c r="F426" s="180"/>
      <c r="G426" s="71">
        <v>25</v>
      </c>
      <c r="H426" s="72" t="s">
        <v>10</v>
      </c>
    </row>
    <row r="427" spans="1:8" ht="14.5" x14ac:dyDescent="0.35">
      <c r="A427" s="1" t="s">
        <v>898</v>
      </c>
      <c r="B427" s="2" t="s">
        <v>10</v>
      </c>
      <c r="C427" s="2" t="s">
        <v>899</v>
      </c>
      <c r="D427" s="181" t="s">
        <v>1579</v>
      </c>
      <c r="E427" s="181" t="s">
        <v>10</v>
      </c>
      <c r="F427" s="181"/>
      <c r="G427" s="71">
        <v>2.16</v>
      </c>
      <c r="H427" s="68">
        <v>0</v>
      </c>
    </row>
    <row r="428" spans="1:8" ht="14.5" x14ac:dyDescent="0.35">
      <c r="A428" s="1" t="s">
        <v>901</v>
      </c>
      <c r="B428" s="2" t="s">
        <v>10</v>
      </c>
      <c r="C428" s="2" t="s">
        <v>902</v>
      </c>
      <c r="D428" s="181" t="s">
        <v>1580</v>
      </c>
      <c r="E428" s="181" t="s">
        <v>1581</v>
      </c>
      <c r="F428" s="181"/>
      <c r="G428" s="71">
        <v>2.1</v>
      </c>
      <c r="H428" s="68">
        <v>0</v>
      </c>
    </row>
    <row r="429" spans="1:8" ht="14.5" x14ac:dyDescent="0.35">
      <c r="A429" s="1" t="s">
        <v>904</v>
      </c>
      <c r="B429" s="2" t="s">
        <v>10</v>
      </c>
      <c r="C429" s="2" t="s">
        <v>905</v>
      </c>
      <c r="D429" s="181" t="s">
        <v>223</v>
      </c>
      <c r="E429" s="181" t="s">
        <v>10</v>
      </c>
      <c r="F429" s="181"/>
      <c r="G429" s="71">
        <v>31</v>
      </c>
      <c r="H429" s="68">
        <v>0</v>
      </c>
    </row>
    <row r="430" spans="1:8" ht="14.5" x14ac:dyDescent="0.35">
      <c r="A430" s="1" t="s">
        <v>907</v>
      </c>
      <c r="B430" s="2" t="s">
        <v>10</v>
      </c>
      <c r="C430" s="2" t="s">
        <v>908</v>
      </c>
      <c r="D430" s="88" t="s">
        <v>909</v>
      </c>
      <c r="E430" s="88"/>
      <c r="F430" s="2" t="s">
        <v>137</v>
      </c>
      <c r="G430" s="53">
        <v>128</v>
      </c>
      <c r="H430" s="68">
        <v>0</v>
      </c>
    </row>
    <row r="431" spans="1:8" ht="14.5" x14ac:dyDescent="0.35">
      <c r="A431" s="69"/>
      <c r="D431" s="70" t="s">
        <v>369</v>
      </c>
      <c r="E431" s="180" t="s">
        <v>10</v>
      </c>
      <c r="F431" s="180"/>
      <c r="G431" s="71">
        <v>72</v>
      </c>
      <c r="H431" s="49"/>
    </row>
    <row r="432" spans="1:8" ht="14.5" x14ac:dyDescent="0.35">
      <c r="A432" s="1" t="s">
        <v>10</v>
      </c>
      <c r="B432" s="2" t="s">
        <v>10</v>
      </c>
      <c r="C432" s="2" t="s">
        <v>10</v>
      </c>
      <c r="D432" s="70" t="s">
        <v>292</v>
      </c>
      <c r="E432" s="180" t="s">
        <v>10</v>
      </c>
      <c r="F432" s="180"/>
      <c r="G432" s="71">
        <v>50</v>
      </c>
      <c r="H432" s="72" t="s">
        <v>10</v>
      </c>
    </row>
    <row r="433" spans="1:8" ht="14.5" x14ac:dyDescent="0.35">
      <c r="A433" s="1" t="s">
        <v>10</v>
      </c>
      <c r="B433" s="2" t="s">
        <v>10</v>
      </c>
      <c r="C433" s="2" t="s">
        <v>10</v>
      </c>
      <c r="D433" s="70" t="s">
        <v>131</v>
      </c>
      <c r="E433" s="180" t="s">
        <v>10</v>
      </c>
      <c r="F433" s="180"/>
      <c r="G433" s="71">
        <v>6</v>
      </c>
      <c r="H433" s="72" t="s">
        <v>10</v>
      </c>
    </row>
    <row r="434" spans="1:8" ht="14.5" x14ac:dyDescent="0.35">
      <c r="A434" s="1" t="s">
        <v>910</v>
      </c>
      <c r="B434" s="2" t="s">
        <v>10</v>
      </c>
      <c r="C434" s="2" t="s">
        <v>911</v>
      </c>
      <c r="D434" s="181" t="s">
        <v>369</v>
      </c>
      <c r="E434" s="181" t="s">
        <v>10</v>
      </c>
      <c r="F434" s="181"/>
      <c r="G434" s="71">
        <v>72</v>
      </c>
      <c r="H434" s="68">
        <v>0</v>
      </c>
    </row>
    <row r="435" spans="1:8" ht="14.5" x14ac:dyDescent="0.35">
      <c r="A435" s="1" t="s">
        <v>913</v>
      </c>
      <c r="B435" s="2" t="s">
        <v>10</v>
      </c>
      <c r="C435" s="2" t="s">
        <v>914</v>
      </c>
      <c r="D435" s="181" t="s">
        <v>180</v>
      </c>
      <c r="E435" s="181" t="s">
        <v>10</v>
      </c>
      <c r="F435" s="181"/>
      <c r="G435" s="71">
        <v>20</v>
      </c>
      <c r="H435" s="68">
        <v>0</v>
      </c>
    </row>
    <row r="436" spans="1:8" ht="14.5" x14ac:dyDescent="0.35">
      <c r="A436" s="73" t="s">
        <v>10</v>
      </c>
      <c r="B436" s="51" t="s">
        <v>10</v>
      </c>
      <c r="C436" s="51" t="s">
        <v>916</v>
      </c>
      <c r="D436" s="173" t="s">
        <v>917</v>
      </c>
      <c r="E436" s="173"/>
      <c r="F436" s="51" t="s">
        <v>10</v>
      </c>
      <c r="G436" s="36" t="s">
        <v>10</v>
      </c>
      <c r="H436" s="74" t="s">
        <v>10</v>
      </c>
    </row>
    <row r="437" spans="1:8" ht="14.5" x14ac:dyDescent="0.35">
      <c r="A437" s="1" t="s">
        <v>918</v>
      </c>
      <c r="B437" s="2" t="s">
        <v>10</v>
      </c>
      <c r="C437" s="2" t="s">
        <v>919</v>
      </c>
      <c r="D437" s="88" t="s">
        <v>920</v>
      </c>
      <c r="E437" s="88"/>
      <c r="F437" s="2" t="s">
        <v>113</v>
      </c>
      <c r="G437" s="53">
        <v>263.3</v>
      </c>
      <c r="H437" s="68">
        <v>0</v>
      </c>
    </row>
    <row r="438" spans="1:8" ht="14.5" x14ac:dyDescent="0.35">
      <c r="A438" s="69"/>
      <c r="D438" s="70" t="s">
        <v>775</v>
      </c>
      <c r="E438" s="180" t="s">
        <v>10</v>
      </c>
      <c r="F438" s="180"/>
      <c r="G438" s="71">
        <v>200</v>
      </c>
      <c r="H438" s="49"/>
    </row>
    <row r="439" spans="1:8" ht="14.5" x14ac:dyDescent="0.35">
      <c r="A439" s="1" t="s">
        <v>10</v>
      </c>
      <c r="B439" s="2" t="s">
        <v>10</v>
      </c>
      <c r="C439" s="2" t="s">
        <v>10</v>
      </c>
      <c r="D439" s="70" t="s">
        <v>1582</v>
      </c>
      <c r="E439" s="180" t="s">
        <v>1583</v>
      </c>
      <c r="F439" s="180"/>
      <c r="G439" s="71">
        <v>63.3</v>
      </c>
      <c r="H439" s="72" t="s">
        <v>10</v>
      </c>
    </row>
    <row r="440" spans="1:8" ht="14.5" x14ac:dyDescent="0.35">
      <c r="A440" s="1" t="s">
        <v>922</v>
      </c>
      <c r="B440" s="2" t="s">
        <v>10</v>
      </c>
      <c r="C440" s="2" t="s">
        <v>923</v>
      </c>
      <c r="D440" s="181" t="s">
        <v>1584</v>
      </c>
      <c r="E440" s="181" t="s">
        <v>10</v>
      </c>
      <c r="F440" s="181"/>
      <c r="G440" s="71">
        <v>937.26</v>
      </c>
      <c r="H440" s="68">
        <v>0</v>
      </c>
    </row>
    <row r="441" spans="1:8" ht="14.5" x14ac:dyDescent="0.35">
      <c r="A441" s="1" t="s">
        <v>925</v>
      </c>
      <c r="B441" s="2" t="s">
        <v>10</v>
      </c>
      <c r="C441" s="2" t="s">
        <v>926</v>
      </c>
      <c r="D441" s="88" t="s">
        <v>927</v>
      </c>
      <c r="E441" s="88"/>
      <c r="F441" s="2" t="s">
        <v>137</v>
      </c>
      <c r="G441" s="53">
        <v>600</v>
      </c>
      <c r="H441" s="68">
        <v>0</v>
      </c>
    </row>
    <row r="442" spans="1:8" ht="14.5" x14ac:dyDescent="0.35">
      <c r="A442" s="69"/>
      <c r="D442" s="70" t="s">
        <v>1585</v>
      </c>
      <c r="E442" s="180" t="s">
        <v>10</v>
      </c>
      <c r="F442" s="180"/>
      <c r="G442" s="71">
        <v>600</v>
      </c>
      <c r="H442" s="49"/>
    </row>
    <row r="443" spans="1:8" ht="14.5" x14ac:dyDescent="0.35">
      <c r="A443" s="1" t="s">
        <v>10</v>
      </c>
      <c r="B443" s="2" t="s">
        <v>10</v>
      </c>
      <c r="C443" s="2" t="s">
        <v>10</v>
      </c>
      <c r="D443" s="70" t="s">
        <v>1537</v>
      </c>
      <c r="E443" s="180" t="s">
        <v>10</v>
      </c>
      <c r="F443" s="180"/>
      <c r="G443" s="71">
        <v>0</v>
      </c>
      <c r="H443" s="72" t="s">
        <v>10</v>
      </c>
    </row>
    <row r="444" spans="1:8" ht="14.5" x14ac:dyDescent="0.35">
      <c r="A444" s="1" t="s">
        <v>10</v>
      </c>
      <c r="B444" s="2" t="s">
        <v>10</v>
      </c>
      <c r="C444" s="2" t="s">
        <v>10</v>
      </c>
      <c r="D444" s="70" t="s">
        <v>1537</v>
      </c>
      <c r="E444" s="180" t="s">
        <v>10</v>
      </c>
      <c r="F444" s="180"/>
      <c r="G444" s="71">
        <v>0</v>
      </c>
      <c r="H444" s="72" t="s">
        <v>10</v>
      </c>
    </row>
    <row r="445" spans="1:8" ht="14.5" x14ac:dyDescent="0.35">
      <c r="A445" s="1" t="s">
        <v>10</v>
      </c>
      <c r="B445" s="2" t="s">
        <v>10</v>
      </c>
      <c r="C445" s="2" t="s">
        <v>10</v>
      </c>
      <c r="D445" s="70" t="s">
        <v>1537</v>
      </c>
      <c r="E445" s="180" t="s">
        <v>10</v>
      </c>
      <c r="F445" s="180"/>
      <c r="G445" s="71">
        <v>0</v>
      </c>
      <c r="H445" s="72" t="s">
        <v>10</v>
      </c>
    </row>
    <row r="446" spans="1:8" ht="14.5" x14ac:dyDescent="0.35">
      <c r="A446" s="1" t="s">
        <v>10</v>
      </c>
      <c r="B446" s="2" t="s">
        <v>10</v>
      </c>
      <c r="C446" s="2" t="s">
        <v>10</v>
      </c>
      <c r="D446" s="70" t="s">
        <v>1537</v>
      </c>
      <c r="E446" s="180" t="s">
        <v>10</v>
      </c>
      <c r="F446" s="180"/>
      <c r="G446" s="71">
        <v>0</v>
      </c>
      <c r="H446" s="72" t="s">
        <v>10</v>
      </c>
    </row>
    <row r="447" spans="1:8" ht="14.5" x14ac:dyDescent="0.35">
      <c r="A447" s="1" t="s">
        <v>928</v>
      </c>
      <c r="B447" s="2" t="s">
        <v>10</v>
      </c>
      <c r="C447" s="2" t="s">
        <v>929</v>
      </c>
      <c r="D447" s="88" t="s">
        <v>930</v>
      </c>
      <c r="E447" s="88"/>
      <c r="F447" s="2" t="s">
        <v>113</v>
      </c>
      <c r="G447" s="53">
        <v>1755</v>
      </c>
      <c r="H447" s="68">
        <v>0</v>
      </c>
    </row>
    <row r="448" spans="1:8" ht="14.5" x14ac:dyDescent="0.35">
      <c r="A448" s="69"/>
      <c r="D448" s="70" t="s">
        <v>1079</v>
      </c>
      <c r="E448" s="180" t="s">
        <v>1586</v>
      </c>
      <c r="F448" s="180"/>
      <c r="G448" s="71">
        <v>289</v>
      </c>
      <c r="H448" s="49"/>
    </row>
    <row r="449" spans="1:8" ht="14.5" x14ac:dyDescent="0.35">
      <c r="A449" s="1" t="s">
        <v>10</v>
      </c>
      <c r="B449" s="2" t="s">
        <v>10</v>
      </c>
      <c r="C449" s="2" t="s">
        <v>10</v>
      </c>
      <c r="D449" s="70" t="s">
        <v>1587</v>
      </c>
      <c r="E449" s="180" t="s">
        <v>1588</v>
      </c>
      <c r="F449" s="180"/>
      <c r="G449" s="71">
        <v>679</v>
      </c>
      <c r="H449" s="72" t="s">
        <v>10</v>
      </c>
    </row>
    <row r="450" spans="1:8" ht="14.5" x14ac:dyDescent="0.35">
      <c r="A450" s="1" t="s">
        <v>10</v>
      </c>
      <c r="B450" s="2" t="s">
        <v>10</v>
      </c>
      <c r="C450" s="2" t="s">
        <v>10</v>
      </c>
      <c r="D450" s="70" t="s">
        <v>1589</v>
      </c>
      <c r="E450" s="180" t="s">
        <v>1590</v>
      </c>
      <c r="F450" s="180"/>
      <c r="G450" s="71">
        <v>469</v>
      </c>
      <c r="H450" s="72" t="s">
        <v>10</v>
      </c>
    </row>
    <row r="451" spans="1:8" ht="14.5" x14ac:dyDescent="0.35">
      <c r="A451" s="1" t="s">
        <v>10</v>
      </c>
      <c r="B451" s="2" t="s">
        <v>10</v>
      </c>
      <c r="C451" s="2" t="s">
        <v>10</v>
      </c>
      <c r="D451" s="70" t="s">
        <v>1166</v>
      </c>
      <c r="E451" s="180" t="s">
        <v>1591</v>
      </c>
      <c r="F451" s="180"/>
      <c r="G451" s="71">
        <v>318</v>
      </c>
      <c r="H451" s="72" t="s">
        <v>10</v>
      </c>
    </row>
    <row r="452" spans="1:8" ht="14.5" x14ac:dyDescent="0.35">
      <c r="A452" s="1" t="s">
        <v>931</v>
      </c>
      <c r="B452" s="2" t="s">
        <v>10</v>
      </c>
      <c r="C452" s="2" t="s">
        <v>932</v>
      </c>
      <c r="D452" s="181" t="s">
        <v>1592</v>
      </c>
      <c r="E452" s="181" t="s">
        <v>1593</v>
      </c>
      <c r="F452" s="181"/>
      <c r="G452" s="71">
        <v>1755</v>
      </c>
      <c r="H452" s="68">
        <v>0</v>
      </c>
    </row>
    <row r="453" spans="1:8" ht="14.5" x14ac:dyDescent="0.35">
      <c r="A453" s="1" t="s">
        <v>934</v>
      </c>
      <c r="B453" s="2" t="s">
        <v>10</v>
      </c>
      <c r="C453" s="2" t="s">
        <v>935</v>
      </c>
      <c r="D453" s="181" t="s">
        <v>1585</v>
      </c>
      <c r="E453" s="181" t="s">
        <v>10</v>
      </c>
      <c r="F453" s="181"/>
      <c r="G453" s="71">
        <v>600</v>
      </c>
      <c r="H453" s="68">
        <v>0</v>
      </c>
    </row>
    <row r="454" spans="1:8" ht="14.5" x14ac:dyDescent="0.35">
      <c r="A454" s="1" t="s">
        <v>937</v>
      </c>
      <c r="B454" s="2" t="s">
        <v>10</v>
      </c>
      <c r="C454" s="2" t="s">
        <v>938</v>
      </c>
      <c r="D454" s="181" t="s">
        <v>1592</v>
      </c>
      <c r="E454" s="181" t="s">
        <v>10</v>
      </c>
      <c r="F454" s="181"/>
      <c r="G454" s="71">
        <v>1755</v>
      </c>
      <c r="H454" s="68">
        <v>0</v>
      </c>
    </row>
    <row r="455" spans="1:8" ht="14.5" x14ac:dyDescent="0.35">
      <c r="A455" s="73" t="s">
        <v>10</v>
      </c>
      <c r="B455" s="51" t="s">
        <v>10</v>
      </c>
      <c r="C455" s="51" t="s">
        <v>940</v>
      </c>
      <c r="D455" s="173" t="s">
        <v>941</v>
      </c>
      <c r="E455" s="173"/>
      <c r="F455" s="51" t="s">
        <v>10</v>
      </c>
      <c r="G455" s="36" t="s">
        <v>10</v>
      </c>
      <c r="H455" s="74" t="s">
        <v>10</v>
      </c>
    </row>
    <row r="456" spans="1:8" ht="14.5" x14ac:dyDescent="0.35">
      <c r="A456" s="1" t="s">
        <v>942</v>
      </c>
      <c r="B456" s="2" t="s">
        <v>10</v>
      </c>
      <c r="C456" s="2" t="s">
        <v>943</v>
      </c>
      <c r="D456" s="181" t="s">
        <v>110</v>
      </c>
      <c r="E456" s="181" t="s">
        <v>10</v>
      </c>
      <c r="F456" s="181"/>
      <c r="G456" s="71">
        <v>1</v>
      </c>
      <c r="H456" s="68">
        <v>0</v>
      </c>
    </row>
    <row r="457" spans="1:8" ht="14.5" x14ac:dyDescent="0.35">
      <c r="A457" s="1" t="s">
        <v>947</v>
      </c>
      <c r="B457" s="2" t="s">
        <v>10</v>
      </c>
      <c r="C457" s="2" t="s">
        <v>943</v>
      </c>
      <c r="D457" s="181" t="s">
        <v>110</v>
      </c>
      <c r="E457" s="181" t="s">
        <v>10</v>
      </c>
      <c r="F457" s="181"/>
      <c r="G457" s="71">
        <v>1</v>
      </c>
      <c r="H457" s="68">
        <v>0</v>
      </c>
    </row>
    <row r="458" spans="1:8" ht="14.5" x14ac:dyDescent="0.35">
      <c r="A458" s="1" t="s">
        <v>949</v>
      </c>
      <c r="B458" s="2" t="s">
        <v>10</v>
      </c>
      <c r="C458" s="2" t="s">
        <v>943</v>
      </c>
      <c r="D458" s="181" t="s">
        <v>110</v>
      </c>
      <c r="E458" s="181" t="s">
        <v>10</v>
      </c>
      <c r="F458" s="181"/>
      <c r="G458" s="71">
        <v>1</v>
      </c>
      <c r="H458" s="68">
        <v>0</v>
      </c>
    </row>
    <row r="459" spans="1:8" ht="14.5" x14ac:dyDescent="0.35">
      <c r="A459" s="73" t="s">
        <v>10</v>
      </c>
      <c r="B459" s="51" t="s">
        <v>10</v>
      </c>
      <c r="C459" s="51" t="s">
        <v>951</v>
      </c>
      <c r="D459" s="173" t="s">
        <v>952</v>
      </c>
      <c r="E459" s="173"/>
      <c r="F459" s="51" t="s">
        <v>10</v>
      </c>
      <c r="G459" s="36" t="s">
        <v>10</v>
      </c>
      <c r="H459" s="74" t="s">
        <v>10</v>
      </c>
    </row>
    <row r="460" spans="1:8" ht="14.5" x14ac:dyDescent="0.35">
      <c r="A460" s="1" t="s">
        <v>953</v>
      </c>
      <c r="B460" s="2" t="s">
        <v>10</v>
      </c>
      <c r="C460" s="2" t="s">
        <v>954</v>
      </c>
      <c r="D460" s="181" t="s">
        <v>249</v>
      </c>
      <c r="E460" s="181" t="s">
        <v>10</v>
      </c>
      <c r="F460" s="181"/>
      <c r="G460" s="71">
        <v>38</v>
      </c>
      <c r="H460" s="68">
        <v>0</v>
      </c>
    </row>
    <row r="461" spans="1:8" ht="14.5" x14ac:dyDescent="0.35">
      <c r="A461" s="1" t="s">
        <v>957</v>
      </c>
      <c r="B461" s="2" t="s">
        <v>10</v>
      </c>
      <c r="C461" s="2" t="s">
        <v>958</v>
      </c>
      <c r="D461" s="88" t="s">
        <v>959</v>
      </c>
      <c r="E461" s="88"/>
      <c r="F461" s="2" t="s">
        <v>434</v>
      </c>
      <c r="G461" s="53">
        <v>164</v>
      </c>
      <c r="H461" s="68">
        <v>0</v>
      </c>
    </row>
    <row r="462" spans="1:8" ht="14.5" x14ac:dyDescent="0.35">
      <c r="A462" s="69"/>
      <c r="D462" s="70" t="s">
        <v>643</v>
      </c>
      <c r="E462" s="180" t="s">
        <v>10</v>
      </c>
      <c r="F462" s="180"/>
      <c r="G462" s="71">
        <v>160</v>
      </c>
      <c r="H462" s="49"/>
    </row>
    <row r="463" spans="1:8" ht="14.5" x14ac:dyDescent="0.35">
      <c r="A463" s="1" t="s">
        <v>10</v>
      </c>
      <c r="B463" s="2" t="s">
        <v>10</v>
      </c>
      <c r="C463" s="2" t="s">
        <v>10</v>
      </c>
      <c r="D463" s="70" t="s">
        <v>125</v>
      </c>
      <c r="E463" s="180" t="s">
        <v>1594</v>
      </c>
      <c r="F463" s="180"/>
      <c r="G463" s="71">
        <v>4</v>
      </c>
      <c r="H463" s="72" t="s">
        <v>10</v>
      </c>
    </row>
    <row r="464" spans="1:8" ht="14.5" x14ac:dyDescent="0.35">
      <c r="A464" s="73" t="s">
        <v>10</v>
      </c>
      <c r="B464" s="51" t="s">
        <v>10</v>
      </c>
      <c r="C464" s="51" t="s">
        <v>421</v>
      </c>
      <c r="D464" s="173" t="s">
        <v>960</v>
      </c>
      <c r="E464" s="173"/>
      <c r="F464" s="51" t="s">
        <v>10</v>
      </c>
      <c r="G464" s="36" t="s">
        <v>10</v>
      </c>
      <c r="H464" s="74" t="s">
        <v>10</v>
      </c>
    </row>
    <row r="465" spans="1:8" ht="14.5" x14ac:dyDescent="0.35">
      <c r="A465" s="1" t="s">
        <v>961</v>
      </c>
      <c r="B465" s="2" t="s">
        <v>10</v>
      </c>
      <c r="C465" s="2" t="s">
        <v>962</v>
      </c>
      <c r="D465" s="181" t="s">
        <v>118</v>
      </c>
      <c r="E465" s="181" t="s">
        <v>10</v>
      </c>
      <c r="F465" s="181"/>
      <c r="G465" s="71">
        <v>2</v>
      </c>
      <c r="H465" s="68">
        <v>0</v>
      </c>
    </row>
    <row r="466" spans="1:8" ht="14.5" x14ac:dyDescent="0.35">
      <c r="A466" s="1" t="s">
        <v>966</v>
      </c>
      <c r="B466" s="2" t="s">
        <v>10</v>
      </c>
      <c r="C466" s="2" t="s">
        <v>967</v>
      </c>
      <c r="D466" s="181" t="s">
        <v>110</v>
      </c>
      <c r="E466" s="181" t="s">
        <v>10</v>
      </c>
      <c r="F466" s="181"/>
      <c r="G466" s="71">
        <v>1</v>
      </c>
      <c r="H466" s="68">
        <v>0</v>
      </c>
    </row>
    <row r="467" spans="1:8" ht="14.5" x14ac:dyDescent="0.35">
      <c r="A467" s="1" t="s">
        <v>969</v>
      </c>
      <c r="B467" s="2" t="s">
        <v>10</v>
      </c>
      <c r="C467" s="2" t="s">
        <v>970</v>
      </c>
      <c r="D467" s="181" t="s">
        <v>110</v>
      </c>
      <c r="E467" s="181" t="s">
        <v>10</v>
      </c>
      <c r="F467" s="181"/>
      <c r="G467" s="71">
        <v>1</v>
      </c>
      <c r="H467" s="68">
        <v>0</v>
      </c>
    </row>
    <row r="468" spans="1:8" ht="14.5" x14ac:dyDescent="0.35">
      <c r="A468" s="1" t="s">
        <v>972</v>
      </c>
      <c r="B468" s="2" t="s">
        <v>10</v>
      </c>
      <c r="C468" s="2" t="s">
        <v>973</v>
      </c>
      <c r="D468" s="181" t="s">
        <v>110</v>
      </c>
      <c r="E468" s="181" t="s">
        <v>10</v>
      </c>
      <c r="F468" s="181"/>
      <c r="G468" s="71">
        <v>1</v>
      </c>
      <c r="H468" s="68">
        <v>0</v>
      </c>
    </row>
    <row r="469" spans="1:8" ht="14.5" x14ac:dyDescent="0.35">
      <c r="A469" s="1" t="s">
        <v>975</v>
      </c>
      <c r="B469" s="2" t="s">
        <v>10</v>
      </c>
      <c r="C469" s="2" t="s">
        <v>976</v>
      </c>
      <c r="D469" s="181" t="s">
        <v>122</v>
      </c>
      <c r="E469" s="181" t="s">
        <v>10</v>
      </c>
      <c r="F469" s="181"/>
      <c r="G469" s="71">
        <v>3</v>
      </c>
      <c r="H469" s="68">
        <v>0</v>
      </c>
    </row>
    <row r="470" spans="1:8" ht="14.5" x14ac:dyDescent="0.35">
      <c r="A470" s="73" t="s">
        <v>10</v>
      </c>
      <c r="B470" s="51" t="s">
        <v>10</v>
      </c>
      <c r="C470" s="51" t="s">
        <v>441</v>
      </c>
      <c r="D470" s="173" t="s">
        <v>978</v>
      </c>
      <c r="E470" s="173"/>
      <c r="F470" s="51" t="s">
        <v>10</v>
      </c>
      <c r="G470" s="36" t="s">
        <v>10</v>
      </c>
      <c r="H470" s="74" t="s">
        <v>10</v>
      </c>
    </row>
    <row r="471" spans="1:8" ht="14.5" x14ac:dyDescent="0.35">
      <c r="A471" s="1" t="s">
        <v>979</v>
      </c>
      <c r="B471" s="2" t="s">
        <v>10</v>
      </c>
      <c r="C471" s="2" t="s">
        <v>980</v>
      </c>
      <c r="D471" s="88" t="s">
        <v>981</v>
      </c>
      <c r="E471" s="88"/>
      <c r="F471" s="2" t="s">
        <v>113</v>
      </c>
      <c r="G471" s="53">
        <v>546.21</v>
      </c>
      <c r="H471" s="68">
        <v>0</v>
      </c>
    </row>
    <row r="472" spans="1:8" ht="14.5" x14ac:dyDescent="0.35">
      <c r="A472" s="69"/>
      <c r="D472" s="70" t="s">
        <v>1595</v>
      </c>
      <c r="E472" s="180" t="s">
        <v>10</v>
      </c>
      <c r="F472" s="180"/>
      <c r="G472" s="71">
        <v>357.21</v>
      </c>
      <c r="H472" s="49"/>
    </row>
    <row r="473" spans="1:8" ht="14.5" x14ac:dyDescent="0.35">
      <c r="A473" s="1" t="s">
        <v>10</v>
      </c>
      <c r="B473" s="2" t="s">
        <v>10</v>
      </c>
      <c r="C473" s="2" t="s">
        <v>10</v>
      </c>
      <c r="D473" s="70" t="s">
        <v>1596</v>
      </c>
      <c r="E473" s="180" t="s">
        <v>10</v>
      </c>
      <c r="F473" s="180"/>
      <c r="G473" s="71">
        <v>189</v>
      </c>
      <c r="H473" s="72" t="s">
        <v>10</v>
      </c>
    </row>
    <row r="474" spans="1:8" ht="14.5" x14ac:dyDescent="0.35">
      <c r="A474" s="73" t="s">
        <v>10</v>
      </c>
      <c r="B474" s="51" t="s">
        <v>10</v>
      </c>
      <c r="C474" s="51" t="s">
        <v>444</v>
      </c>
      <c r="D474" s="173" t="s">
        <v>984</v>
      </c>
      <c r="E474" s="173"/>
      <c r="F474" s="51" t="s">
        <v>10</v>
      </c>
      <c r="G474" s="36" t="s">
        <v>10</v>
      </c>
      <c r="H474" s="74" t="s">
        <v>10</v>
      </c>
    </row>
    <row r="475" spans="1:8" ht="14.5" x14ac:dyDescent="0.35">
      <c r="A475" s="1" t="s">
        <v>985</v>
      </c>
      <c r="B475" s="2" t="s">
        <v>10</v>
      </c>
      <c r="C475" s="2" t="s">
        <v>986</v>
      </c>
      <c r="D475" s="181" t="s">
        <v>1597</v>
      </c>
      <c r="E475" s="181" t="s">
        <v>10</v>
      </c>
      <c r="F475" s="181"/>
      <c r="G475" s="71">
        <v>714.42</v>
      </c>
      <c r="H475" s="68">
        <v>0</v>
      </c>
    </row>
    <row r="476" spans="1:8" ht="14.5" x14ac:dyDescent="0.35">
      <c r="A476" s="1" t="s">
        <v>989</v>
      </c>
      <c r="B476" s="2" t="s">
        <v>10</v>
      </c>
      <c r="C476" s="2" t="s">
        <v>990</v>
      </c>
      <c r="D476" s="181" t="s">
        <v>1598</v>
      </c>
      <c r="E476" s="181" t="s">
        <v>10</v>
      </c>
      <c r="F476" s="181"/>
      <c r="G476" s="71">
        <v>6400</v>
      </c>
      <c r="H476" s="68">
        <v>0</v>
      </c>
    </row>
    <row r="477" spans="1:8" ht="14.5" x14ac:dyDescent="0.35">
      <c r="A477" s="1" t="s">
        <v>992</v>
      </c>
      <c r="B477" s="2" t="s">
        <v>10</v>
      </c>
      <c r="C477" s="2" t="s">
        <v>993</v>
      </c>
      <c r="D477" s="181" t="s">
        <v>125</v>
      </c>
      <c r="E477" s="181" t="s">
        <v>10</v>
      </c>
      <c r="F477" s="181"/>
      <c r="G477" s="71">
        <v>4</v>
      </c>
      <c r="H477" s="68">
        <v>0</v>
      </c>
    </row>
    <row r="478" spans="1:8" ht="14.5" x14ac:dyDescent="0.35">
      <c r="A478" s="1" t="s">
        <v>995</v>
      </c>
      <c r="B478" s="2" t="s">
        <v>10</v>
      </c>
      <c r="C478" s="2" t="s">
        <v>996</v>
      </c>
      <c r="D478" s="181" t="s">
        <v>110</v>
      </c>
      <c r="E478" s="181" t="s">
        <v>10</v>
      </c>
      <c r="F478" s="181"/>
      <c r="G478" s="71">
        <v>1</v>
      </c>
      <c r="H478" s="68">
        <v>0</v>
      </c>
    </row>
    <row r="479" spans="1:8" ht="14.5" x14ac:dyDescent="0.35">
      <c r="A479" s="1" t="s">
        <v>998</v>
      </c>
      <c r="B479" s="2" t="s">
        <v>10</v>
      </c>
      <c r="C479" s="2" t="s">
        <v>996</v>
      </c>
      <c r="D479" s="181" t="s">
        <v>110</v>
      </c>
      <c r="E479" s="181" t="s">
        <v>10</v>
      </c>
      <c r="F479" s="181"/>
      <c r="G479" s="71">
        <v>1</v>
      </c>
      <c r="H479" s="68">
        <v>0</v>
      </c>
    </row>
    <row r="480" spans="1:8" ht="14.5" x14ac:dyDescent="0.35">
      <c r="A480" s="1" t="s">
        <v>1000</v>
      </c>
      <c r="B480" s="2" t="s">
        <v>10</v>
      </c>
      <c r="C480" s="2" t="s">
        <v>996</v>
      </c>
      <c r="D480" s="88" t="s">
        <v>1001</v>
      </c>
      <c r="E480" s="88"/>
      <c r="F480" s="2" t="s">
        <v>414</v>
      </c>
      <c r="G480" s="53">
        <v>1</v>
      </c>
      <c r="H480" s="68">
        <v>0</v>
      </c>
    </row>
    <row r="481" spans="1:8" ht="14.5" x14ac:dyDescent="0.35">
      <c r="A481" s="1" t="s">
        <v>1002</v>
      </c>
      <c r="B481" s="2" t="s">
        <v>10</v>
      </c>
      <c r="C481" s="2" t="s">
        <v>1003</v>
      </c>
      <c r="D481" s="181" t="s">
        <v>110</v>
      </c>
      <c r="E481" s="181" t="s">
        <v>10</v>
      </c>
      <c r="F481" s="181"/>
      <c r="G481" s="71">
        <v>1</v>
      </c>
      <c r="H481" s="68">
        <v>0</v>
      </c>
    </row>
    <row r="482" spans="1:8" ht="14.5" x14ac:dyDescent="0.35">
      <c r="A482" s="73" t="s">
        <v>10</v>
      </c>
      <c r="B482" s="51" t="s">
        <v>10</v>
      </c>
      <c r="C482" s="51" t="s">
        <v>1005</v>
      </c>
      <c r="D482" s="173" t="s">
        <v>1006</v>
      </c>
      <c r="E482" s="173"/>
      <c r="F482" s="51" t="s">
        <v>10</v>
      </c>
      <c r="G482" s="36" t="s">
        <v>10</v>
      </c>
      <c r="H482" s="74" t="s">
        <v>10</v>
      </c>
    </row>
    <row r="483" spans="1:8" ht="14.5" x14ac:dyDescent="0.35">
      <c r="A483" s="1" t="s">
        <v>1007</v>
      </c>
      <c r="B483" s="2" t="s">
        <v>10</v>
      </c>
      <c r="C483" s="2" t="s">
        <v>1008</v>
      </c>
      <c r="D483" s="88" t="s">
        <v>1009</v>
      </c>
      <c r="E483" s="88"/>
      <c r="F483" s="2" t="s">
        <v>113</v>
      </c>
      <c r="G483" s="53">
        <v>69.790000000000006</v>
      </c>
      <c r="H483" s="68">
        <v>0</v>
      </c>
    </row>
    <row r="484" spans="1:8" ht="14.5" x14ac:dyDescent="0.35">
      <c r="A484" s="69"/>
      <c r="D484" s="70" t="s">
        <v>1599</v>
      </c>
      <c r="E484" s="180" t="s">
        <v>1600</v>
      </c>
      <c r="F484" s="180"/>
      <c r="G484" s="71">
        <v>42.4</v>
      </c>
      <c r="H484" s="49"/>
    </row>
    <row r="485" spans="1:8" ht="14.5" x14ac:dyDescent="0.35">
      <c r="A485" s="1" t="s">
        <v>10</v>
      </c>
      <c r="B485" s="2" t="s">
        <v>10</v>
      </c>
      <c r="C485" s="2" t="s">
        <v>10</v>
      </c>
      <c r="D485" s="70" t="s">
        <v>1601</v>
      </c>
      <c r="E485" s="180" t="s">
        <v>10</v>
      </c>
      <c r="F485" s="180"/>
      <c r="G485" s="71">
        <v>4.5</v>
      </c>
      <c r="H485" s="72" t="s">
        <v>10</v>
      </c>
    </row>
    <row r="486" spans="1:8" ht="14.5" x14ac:dyDescent="0.35">
      <c r="A486" s="1" t="s">
        <v>10</v>
      </c>
      <c r="B486" s="2" t="s">
        <v>10</v>
      </c>
      <c r="C486" s="2" t="s">
        <v>10</v>
      </c>
      <c r="D486" s="70" t="s">
        <v>1602</v>
      </c>
      <c r="E486" s="180" t="s">
        <v>10</v>
      </c>
      <c r="F486" s="180"/>
      <c r="G486" s="71">
        <v>21.7</v>
      </c>
      <c r="H486" s="72" t="s">
        <v>10</v>
      </c>
    </row>
    <row r="487" spans="1:8" ht="14.5" x14ac:dyDescent="0.35">
      <c r="A487" s="1" t="s">
        <v>10</v>
      </c>
      <c r="B487" s="2" t="s">
        <v>10</v>
      </c>
      <c r="C487" s="2" t="s">
        <v>10</v>
      </c>
      <c r="D487" s="70" t="s">
        <v>1603</v>
      </c>
      <c r="E487" s="180" t="s">
        <v>10</v>
      </c>
      <c r="F487" s="180"/>
      <c r="G487" s="71">
        <v>1.19</v>
      </c>
      <c r="H487" s="72" t="s">
        <v>10</v>
      </c>
    </row>
    <row r="488" spans="1:8" ht="14.5" x14ac:dyDescent="0.35">
      <c r="A488" s="73" t="s">
        <v>10</v>
      </c>
      <c r="B488" s="51" t="s">
        <v>10</v>
      </c>
      <c r="C488" s="51" t="s">
        <v>447</v>
      </c>
      <c r="D488" s="173" t="s">
        <v>1011</v>
      </c>
      <c r="E488" s="173"/>
      <c r="F488" s="51" t="s">
        <v>10</v>
      </c>
      <c r="G488" s="36" t="s">
        <v>10</v>
      </c>
      <c r="H488" s="74" t="s">
        <v>10</v>
      </c>
    </row>
    <row r="489" spans="1:8" ht="14.5" x14ac:dyDescent="0.35">
      <c r="A489" s="1" t="s">
        <v>1012</v>
      </c>
      <c r="B489" s="2" t="s">
        <v>10</v>
      </c>
      <c r="C489" s="2" t="s">
        <v>1013</v>
      </c>
      <c r="D489" s="88" t="s">
        <v>1014</v>
      </c>
      <c r="E489" s="88"/>
      <c r="F489" s="2" t="s">
        <v>113</v>
      </c>
      <c r="G489" s="53">
        <v>153.26</v>
      </c>
      <c r="H489" s="68">
        <v>0</v>
      </c>
    </row>
    <row r="490" spans="1:8" ht="14.5" x14ac:dyDescent="0.35">
      <c r="A490" s="69"/>
      <c r="D490" s="70" t="s">
        <v>1604</v>
      </c>
      <c r="E490" s="180" t="s">
        <v>10</v>
      </c>
      <c r="F490" s="180"/>
      <c r="G490" s="71">
        <v>32.11</v>
      </c>
      <c r="H490" s="49"/>
    </row>
    <row r="491" spans="1:8" ht="14.5" x14ac:dyDescent="0.35">
      <c r="A491" s="1" t="s">
        <v>10</v>
      </c>
      <c r="B491" s="2" t="s">
        <v>10</v>
      </c>
      <c r="C491" s="2" t="s">
        <v>10</v>
      </c>
      <c r="D491" s="70" t="s">
        <v>1605</v>
      </c>
      <c r="E491" s="180" t="s">
        <v>10</v>
      </c>
      <c r="F491" s="180"/>
      <c r="G491" s="71">
        <v>22.44</v>
      </c>
      <c r="H491" s="72" t="s">
        <v>10</v>
      </c>
    </row>
    <row r="492" spans="1:8" ht="14.5" x14ac:dyDescent="0.35">
      <c r="A492" s="1" t="s">
        <v>10</v>
      </c>
      <c r="B492" s="2" t="s">
        <v>10</v>
      </c>
      <c r="C492" s="2" t="s">
        <v>10</v>
      </c>
      <c r="D492" s="70" t="s">
        <v>1606</v>
      </c>
      <c r="E492" s="180" t="s">
        <v>10</v>
      </c>
      <c r="F492" s="180"/>
      <c r="G492" s="71">
        <v>8.58</v>
      </c>
      <c r="H492" s="72" t="s">
        <v>10</v>
      </c>
    </row>
    <row r="493" spans="1:8" ht="14.5" x14ac:dyDescent="0.35">
      <c r="A493" s="1" t="s">
        <v>10</v>
      </c>
      <c r="B493" s="2" t="s">
        <v>10</v>
      </c>
      <c r="C493" s="2" t="s">
        <v>10</v>
      </c>
      <c r="D493" s="70" t="s">
        <v>1607</v>
      </c>
      <c r="E493" s="180" t="s">
        <v>10</v>
      </c>
      <c r="F493" s="180"/>
      <c r="G493" s="71">
        <v>38.51</v>
      </c>
      <c r="H493" s="72" t="s">
        <v>10</v>
      </c>
    </row>
    <row r="494" spans="1:8" ht="14.5" x14ac:dyDescent="0.35">
      <c r="A494" s="1" t="s">
        <v>10</v>
      </c>
      <c r="B494" s="2" t="s">
        <v>10</v>
      </c>
      <c r="C494" s="2" t="s">
        <v>10</v>
      </c>
      <c r="D494" s="70" t="s">
        <v>1608</v>
      </c>
      <c r="E494" s="180" t="s">
        <v>1510</v>
      </c>
      <c r="F494" s="180"/>
      <c r="G494" s="71">
        <v>43.4</v>
      </c>
      <c r="H494" s="72" t="s">
        <v>10</v>
      </c>
    </row>
    <row r="495" spans="1:8" ht="14.5" x14ac:dyDescent="0.35">
      <c r="A495" s="1" t="s">
        <v>10</v>
      </c>
      <c r="B495" s="2" t="s">
        <v>10</v>
      </c>
      <c r="C495" s="2" t="s">
        <v>10</v>
      </c>
      <c r="D495" s="70" t="s">
        <v>1609</v>
      </c>
      <c r="E495" s="180" t="s">
        <v>1510</v>
      </c>
      <c r="F495" s="180"/>
      <c r="G495" s="71">
        <v>8.2200000000000006</v>
      </c>
      <c r="H495" s="72" t="s">
        <v>10</v>
      </c>
    </row>
    <row r="496" spans="1:8" ht="14.5" x14ac:dyDescent="0.35">
      <c r="A496" s="1" t="s">
        <v>1016</v>
      </c>
      <c r="B496" s="2" t="s">
        <v>10</v>
      </c>
      <c r="C496" s="2" t="s">
        <v>1017</v>
      </c>
      <c r="D496" s="181" t="s">
        <v>1610</v>
      </c>
      <c r="E496" s="181" t="s">
        <v>1611</v>
      </c>
      <c r="F496" s="181"/>
      <c r="G496" s="71">
        <v>1.98</v>
      </c>
      <c r="H496" s="68">
        <v>0</v>
      </c>
    </row>
    <row r="497" spans="1:8" ht="14.5" x14ac:dyDescent="0.35">
      <c r="A497" s="1" t="s">
        <v>1019</v>
      </c>
      <c r="B497" s="2" t="s">
        <v>10</v>
      </c>
      <c r="C497" s="2" t="s">
        <v>1020</v>
      </c>
      <c r="D497" s="88" t="s">
        <v>1021</v>
      </c>
      <c r="E497" s="88"/>
      <c r="F497" s="2" t="s">
        <v>113</v>
      </c>
      <c r="G497" s="53">
        <v>482.88</v>
      </c>
      <c r="H497" s="68">
        <v>0</v>
      </c>
    </row>
    <row r="498" spans="1:8" ht="14.5" x14ac:dyDescent="0.35">
      <c r="A498" s="69"/>
      <c r="D498" s="70" t="s">
        <v>1612</v>
      </c>
      <c r="E498" s="180" t="s">
        <v>1613</v>
      </c>
      <c r="F498" s="180"/>
      <c r="G498" s="71">
        <v>203.68</v>
      </c>
      <c r="H498" s="49"/>
    </row>
    <row r="499" spans="1:8" ht="14.5" x14ac:dyDescent="0.35">
      <c r="A499" s="1" t="s">
        <v>10</v>
      </c>
      <c r="B499" s="2" t="s">
        <v>10</v>
      </c>
      <c r="C499" s="2" t="s">
        <v>10</v>
      </c>
      <c r="D499" s="70" t="s">
        <v>1493</v>
      </c>
      <c r="E499" s="180" t="s">
        <v>1614</v>
      </c>
      <c r="F499" s="180"/>
      <c r="G499" s="71">
        <v>176</v>
      </c>
      <c r="H499" s="72" t="s">
        <v>10</v>
      </c>
    </row>
    <row r="500" spans="1:8" ht="14.5" x14ac:dyDescent="0.35">
      <c r="A500" s="1" t="s">
        <v>10</v>
      </c>
      <c r="B500" s="2" t="s">
        <v>10</v>
      </c>
      <c r="C500" s="2" t="s">
        <v>10</v>
      </c>
      <c r="D500" s="70" t="s">
        <v>1615</v>
      </c>
      <c r="E500" s="180" t="s">
        <v>1616</v>
      </c>
      <c r="F500" s="180"/>
      <c r="G500" s="71">
        <v>103.2</v>
      </c>
      <c r="H500" s="72" t="s">
        <v>10</v>
      </c>
    </row>
    <row r="501" spans="1:8" ht="14.5" x14ac:dyDescent="0.35">
      <c r="A501" s="1" t="s">
        <v>1022</v>
      </c>
      <c r="B501" s="2" t="s">
        <v>10</v>
      </c>
      <c r="C501" s="2" t="s">
        <v>1023</v>
      </c>
      <c r="D501" s="88" t="s">
        <v>1024</v>
      </c>
      <c r="E501" s="88"/>
      <c r="F501" s="2" t="s">
        <v>143</v>
      </c>
      <c r="G501" s="53">
        <v>8.66</v>
      </c>
      <c r="H501" s="68">
        <v>0</v>
      </c>
    </row>
    <row r="502" spans="1:8" ht="14.5" x14ac:dyDescent="0.35">
      <c r="A502" s="69"/>
      <c r="D502" s="70" t="s">
        <v>1617</v>
      </c>
      <c r="E502" s="180" t="s">
        <v>1618</v>
      </c>
      <c r="F502" s="180"/>
      <c r="G502" s="71">
        <v>2</v>
      </c>
      <c r="H502" s="49"/>
    </row>
    <row r="503" spans="1:8" ht="14.5" x14ac:dyDescent="0.35">
      <c r="A503" s="1" t="s">
        <v>10</v>
      </c>
      <c r="B503" s="2" t="s">
        <v>10</v>
      </c>
      <c r="C503" s="2" t="s">
        <v>10</v>
      </c>
      <c r="D503" s="70" t="s">
        <v>1619</v>
      </c>
      <c r="E503" s="180" t="s">
        <v>1620</v>
      </c>
      <c r="F503" s="180"/>
      <c r="G503" s="71">
        <v>0.91</v>
      </c>
      <c r="H503" s="72" t="s">
        <v>10</v>
      </c>
    </row>
    <row r="504" spans="1:8" ht="14.5" x14ac:dyDescent="0.35">
      <c r="A504" s="1" t="s">
        <v>10</v>
      </c>
      <c r="B504" s="2" t="s">
        <v>10</v>
      </c>
      <c r="C504" s="2" t="s">
        <v>10</v>
      </c>
      <c r="D504" s="70" t="s">
        <v>1621</v>
      </c>
      <c r="E504" s="180" t="s">
        <v>1622</v>
      </c>
      <c r="F504" s="180"/>
      <c r="G504" s="71">
        <v>5.15</v>
      </c>
      <c r="H504" s="72" t="s">
        <v>10</v>
      </c>
    </row>
    <row r="505" spans="1:8" ht="14.5" x14ac:dyDescent="0.35">
      <c r="A505" s="1" t="s">
        <v>10</v>
      </c>
      <c r="B505" s="2" t="s">
        <v>10</v>
      </c>
      <c r="C505" s="2" t="s">
        <v>10</v>
      </c>
      <c r="D505" s="70" t="s">
        <v>1623</v>
      </c>
      <c r="E505" s="180" t="s">
        <v>1624</v>
      </c>
      <c r="F505" s="180"/>
      <c r="G505" s="71">
        <v>0.6</v>
      </c>
      <c r="H505" s="72" t="s">
        <v>10</v>
      </c>
    </row>
    <row r="506" spans="1:8" ht="14.5" x14ac:dyDescent="0.35">
      <c r="A506" s="1" t="s">
        <v>1025</v>
      </c>
      <c r="B506" s="2" t="s">
        <v>10</v>
      </c>
      <c r="C506" s="2" t="s">
        <v>1026</v>
      </c>
      <c r="D506" s="88" t="s">
        <v>1027</v>
      </c>
      <c r="E506" s="88"/>
      <c r="F506" s="2" t="s">
        <v>113</v>
      </c>
      <c r="G506" s="53">
        <v>16.690000000000001</v>
      </c>
      <c r="H506" s="68">
        <v>0</v>
      </c>
    </row>
    <row r="507" spans="1:8" ht="14.5" x14ac:dyDescent="0.35">
      <c r="A507" s="69"/>
      <c r="D507" s="70" t="s">
        <v>1625</v>
      </c>
      <c r="E507" s="180" t="s">
        <v>10</v>
      </c>
      <c r="F507" s="180"/>
      <c r="G507" s="71">
        <v>9.3800000000000008</v>
      </c>
      <c r="H507" s="49"/>
    </row>
    <row r="508" spans="1:8" ht="14.5" x14ac:dyDescent="0.35">
      <c r="A508" s="1" t="s">
        <v>10</v>
      </c>
      <c r="B508" s="2" t="s">
        <v>10</v>
      </c>
      <c r="C508" s="2" t="s">
        <v>10</v>
      </c>
      <c r="D508" s="70" t="s">
        <v>1626</v>
      </c>
      <c r="E508" s="180" t="s">
        <v>10</v>
      </c>
      <c r="F508" s="180"/>
      <c r="G508" s="71">
        <v>7.31</v>
      </c>
      <c r="H508" s="72" t="s">
        <v>10</v>
      </c>
    </row>
    <row r="509" spans="1:8" ht="14.5" x14ac:dyDescent="0.35">
      <c r="A509" s="1" t="s">
        <v>1028</v>
      </c>
      <c r="B509" s="2" t="s">
        <v>10</v>
      </c>
      <c r="C509" s="2" t="s">
        <v>1029</v>
      </c>
      <c r="D509" s="88" t="s">
        <v>1030</v>
      </c>
      <c r="E509" s="88"/>
      <c r="F509" s="2" t="s">
        <v>113</v>
      </c>
      <c r="G509" s="53">
        <v>149.66</v>
      </c>
      <c r="H509" s="68">
        <v>0</v>
      </c>
    </row>
    <row r="510" spans="1:8" ht="14.5" x14ac:dyDescent="0.35">
      <c r="A510" s="69"/>
      <c r="D510" s="70" t="s">
        <v>1627</v>
      </c>
      <c r="E510" s="180" t="s">
        <v>1628</v>
      </c>
      <c r="F510" s="180"/>
      <c r="G510" s="71">
        <v>56.42</v>
      </c>
      <c r="H510" s="49"/>
    </row>
    <row r="511" spans="1:8" ht="14.5" x14ac:dyDescent="0.35">
      <c r="A511" s="1" t="s">
        <v>10</v>
      </c>
      <c r="B511" s="2" t="s">
        <v>10</v>
      </c>
      <c r="C511" s="2" t="s">
        <v>10</v>
      </c>
      <c r="D511" s="70" t="s">
        <v>1629</v>
      </c>
      <c r="E511" s="180" t="s">
        <v>1630</v>
      </c>
      <c r="F511" s="180"/>
      <c r="G511" s="71">
        <v>46.62</v>
      </c>
      <c r="H511" s="72" t="s">
        <v>10</v>
      </c>
    </row>
    <row r="512" spans="1:8" ht="14.5" x14ac:dyDescent="0.35">
      <c r="A512" s="1" t="s">
        <v>10</v>
      </c>
      <c r="B512" s="2" t="s">
        <v>10</v>
      </c>
      <c r="C512" s="2" t="s">
        <v>10</v>
      </c>
      <c r="D512" s="70" t="s">
        <v>1629</v>
      </c>
      <c r="E512" s="180" t="s">
        <v>1631</v>
      </c>
      <c r="F512" s="180"/>
      <c r="G512" s="71">
        <v>46.62</v>
      </c>
      <c r="H512" s="72" t="s">
        <v>10</v>
      </c>
    </row>
    <row r="513" spans="1:8" ht="14.5" x14ac:dyDescent="0.35">
      <c r="A513" s="1" t="s">
        <v>1031</v>
      </c>
      <c r="B513" s="2" t="s">
        <v>10</v>
      </c>
      <c r="C513" s="2" t="s">
        <v>1032</v>
      </c>
      <c r="D513" s="88" t="s">
        <v>1033</v>
      </c>
      <c r="E513" s="88"/>
      <c r="F513" s="2" t="s">
        <v>113</v>
      </c>
      <c r="G513" s="53">
        <v>366.33</v>
      </c>
      <c r="H513" s="68">
        <v>0</v>
      </c>
    </row>
    <row r="514" spans="1:8" ht="14.5" x14ac:dyDescent="0.35">
      <c r="A514" s="69"/>
      <c r="D514" s="70" t="s">
        <v>1632</v>
      </c>
      <c r="E514" s="180" t="s">
        <v>1633</v>
      </c>
      <c r="F514" s="180"/>
      <c r="G514" s="71">
        <v>20.6</v>
      </c>
      <c r="H514" s="49"/>
    </row>
    <row r="515" spans="1:8" ht="14.5" x14ac:dyDescent="0.35">
      <c r="A515" s="1" t="s">
        <v>10</v>
      </c>
      <c r="B515" s="2" t="s">
        <v>10</v>
      </c>
      <c r="C515" s="2" t="s">
        <v>10</v>
      </c>
      <c r="D515" s="70" t="s">
        <v>1634</v>
      </c>
      <c r="E515" s="180" t="s">
        <v>1635</v>
      </c>
      <c r="F515" s="180"/>
      <c r="G515" s="71">
        <v>7.54</v>
      </c>
      <c r="H515" s="72" t="s">
        <v>10</v>
      </c>
    </row>
    <row r="516" spans="1:8" ht="14.5" x14ac:dyDescent="0.35">
      <c r="A516" s="1" t="s">
        <v>10</v>
      </c>
      <c r="B516" s="2" t="s">
        <v>10</v>
      </c>
      <c r="C516" s="2" t="s">
        <v>10</v>
      </c>
      <c r="D516" s="70" t="s">
        <v>1636</v>
      </c>
      <c r="E516" s="180" t="s">
        <v>10</v>
      </c>
      <c r="F516" s="180"/>
      <c r="G516" s="71">
        <v>8.19</v>
      </c>
      <c r="H516" s="72" t="s">
        <v>10</v>
      </c>
    </row>
    <row r="517" spans="1:8" ht="14.5" x14ac:dyDescent="0.35">
      <c r="A517" s="1" t="s">
        <v>10</v>
      </c>
      <c r="B517" s="2" t="s">
        <v>10</v>
      </c>
      <c r="C517" s="2" t="s">
        <v>10</v>
      </c>
      <c r="D517" s="70" t="s">
        <v>1201</v>
      </c>
      <c r="E517" s="180" t="s">
        <v>10</v>
      </c>
      <c r="F517" s="180"/>
      <c r="G517" s="71">
        <v>330</v>
      </c>
      <c r="H517" s="72" t="s">
        <v>10</v>
      </c>
    </row>
    <row r="518" spans="1:8" ht="14.5" x14ac:dyDescent="0.35">
      <c r="A518" s="1" t="s">
        <v>1034</v>
      </c>
      <c r="B518" s="2" t="s">
        <v>10</v>
      </c>
      <c r="C518" s="2" t="s">
        <v>1035</v>
      </c>
      <c r="D518" s="88" t="s">
        <v>1036</v>
      </c>
      <c r="E518" s="88"/>
      <c r="F518" s="2" t="s">
        <v>143</v>
      </c>
      <c r="G518" s="53">
        <v>37.700000000000003</v>
      </c>
      <c r="H518" s="68">
        <v>0</v>
      </c>
    </row>
    <row r="519" spans="1:8" ht="14.5" x14ac:dyDescent="0.35">
      <c r="A519" s="69"/>
      <c r="D519" s="70" t="s">
        <v>1637</v>
      </c>
      <c r="E519" s="180" t="s">
        <v>10</v>
      </c>
      <c r="F519" s="180"/>
      <c r="G519" s="71">
        <v>0.94</v>
      </c>
      <c r="H519" s="49"/>
    </row>
    <row r="520" spans="1:8" ht="14.5" x14ac:dyDescent="0.35">
      <c r="A520" s="1" t="s">
        <v>10</v>
      </c>
      <c r="B520" s="2" t="s">
        <v>10</v>
      </c>
      <c r="C520" s="2" t="s">
        <v>10</v>
      </c>
      <c r="D520" s="70" t="s">
        <v>1638</v>
      </c>
      <c r="E520" s="180" t="s">
        <v>1639</v>
      </c>
      <c r="F520" s="180"/>
      <c r="G520" s="71">
        <v>8.64</v>
      </c>
      <c r="H520" s="72" t="s">
        <v>10</v>
      </c>
    </row>
    <row r="521" spans="1:8" ht="14.5" x14ac:dyDescent="0.35">
      <c r="A521" s="1" t="s">
        <v>10</v>
      </c>
      <c r="B521" s="2" t="s">
        <v>10</v>
      </c>
      <c r="C521" s="2" t="s">
        <v>10</v>
      </c>
      <c r="D521" s="70" t="s">
        <v>1508</v>
      </c>
      <c r="E521" s="180" t="s">
        <v>1640</v>
      </c>
      <c r="F521" s="180"/>
      <c r="G521" s="71">
        <v>17.3</v>
      </c>
      <c r="H521" s="72" t="s">
        <v>10</v>
      </c>
    </row>
    <row r="522" spans="1:8" ht="14.5" x14ac:dyDescent="0.35">
      <c r="A522" s="1" t="s">
        <v>10</v>
      </c>
      <c r="B522" s="2" t="s">
        <v>10</v>
      </c>
      <c r="C522" s="2" t="s">
        <v>10</v>
      </c>
      <c r="D522" s="70" t="s">
        <v>1641</v>
      </c>
      <c r="E522" s="180" t="s">
        <v>1507</v>
      </c>
      <c r="F522" s="180"/>
      <c r="G522" s="71">
        <v>10.82</v>
      </c>
      <c r="H522" s="72" t="s">
        <v>10</v>
      </c>
    </row>
    <row r="523" spans="1:8" ht="14.5" x14ac:dyDescent="0.35">
      <c r="A523" s="1" t="s">
        <v>1037</v>
      </c>
      <c r="B523" s="2" t="s">
        <v>10</v>
      </c>
      <c r="C523" s="2" t="s">
        <v>1038</v>
      </c>
      <c r="D523" s="88" t="s">
        <v>1039</v>
      </c>
      <c r="E523" s="88"/>
      <c r="F523" s="2" t="s">
        <v>121</v>
      </c>
      <c r="G523" s="53">
        <v>38</v>
      </c>
      <c r="H523" s="68">
        <v>0</v>
      </c>
    </row>
    <row r="524" spans="1:8" ht="14.5" x14ac:dyDescent="0.35">
      <c r="A524" s="69"/>
      <c r="D524" s="70" t="s">
        <v>209</v>
      </c>
      <c r="E524" s="180" t="s">
        <v>10</v>
      </c>
      <c r="F524" s="180"/>
      <c r="G524" s="71">
        <v>28</v>
      </c>
      <c r="H524" s="49"/>
    </row>
    <row r="525" spans="1:8" ht="14.5" x14ac:dyDescent="0.35">
      <c r="A525" s="1" t="s">
        <v>10</v>
      </c>
      <c r="B525" s="2" t="s">
        <v>10</v>
      </c>
      <c r="C525" s="2" t="s">
        <v>10</v>
      </c>
      <c r="D525" s="70" t="s">
        <v>1642</v>
      </c>
      <c r="E525" s="180" t="s">
        <v>1507</v>
      </c>
      <c r="F525" s="180"/>
      <c r="G525" s="71">
        <v>5</v>
      </c>
      <c r="H525" s="72" t="s">
        <v>10</v>
      </c>
    </row>
    <row r="526" spans="1:8" ht="14.5" x14ac:dyDescent="0.35">
      <c r="A526" s="1" t="s">
        <v>10</v>
      </c>
      <c r="B526" s="2" t="s">
        <v>10</v>
      </c>
      <c r="C526" s="2" t="s">
        <v>10</v>
      </c>
      <c r="D526" s="70" t="s">
        <v>128</v>
      </c>
      <c r="E526" s="180" t="s">
        <v>1510</v>
      </c>
      <c r="F526" s="180"/>
      <c r="G526" s="71">
        <v>5</v>
      </c>
      <c r="H526" s="72" t="s">
        <v>10</v>
      </c>
    </row>
    <row r="527" spans="1:8" ht="14.5" x14ac:dyDescent="0.35">
      <c r="A527" s="1" t="s">
        <v>1040</v>
      </c>
      <c r="B527" s="2" t="s">
        <v>10</v>
      </c>
      <c r="C527" s="2" t="s">
        <v>1041</v>
      </c>
      <c r="D527" s="88" t="s">
        <v>1042</v>
      </c>
      <c r="E527" s="88"/>
      <c r="F527" s="2" t="s">
        <v>434</v>
      </c>
      <c r="G527" s="53">
        <v>19</v>
      </c>
      <c r="H527" s="68">
        <v>0</v>
      </c>
    </row>
    <row r="528" spans="1:8" ht="14.5" x14ac:dyDescent="0.35">
      <c r="A528" s="69"/>
      <c r="D528" s="70" t="s">
        <v>110</v>
      </c>
      <c r="E528" s="180" t="s">
        <v>10</v>
      </c>
      <c r="F528" s="180"/>
      <c r="G528" s="71">
        <v>1</v>
      </c>
      <c r="H528" s="49"/>
    </row>
    <row r="529" spans="1:8" ht="14.5" x14ac:dyDescent="0.35">
      <c r="A529" s="1" t="s">
        <v>10</v>
      </c>
      <c r="B529" s="2" t="s">
        <v>10</v>
      </c>
      <c r="C529" s="2" t="s">
        <v>10</v>
      </c>
      <c r="D529" s="70" t="s">
        <v>125</v>
      </c>
      <c r="E529" s="180" t="s">
        <v>10</v>
      </c>
      <c r="F529" s="180"/>
      <c r="G529" s="71">
        <v>4</v>
      </c>
      <c r="H529" s="72" t="s">
        <v>10</v>
      </c>
    </row>
    <row r="530" spans="1:8" ht="14.5" x14ac:dyDescent="0.35">
      <c r="A530" s="1" t="s">
        <v>10</v>
      </c>
      <c r="B530" s="2" t="s">
        <v>10</v>
      </c>
      <c r="C530" s="2" t="s">
        <v>10</v>
      </c>
      <c r="D530" s="70" t="s">
        <v>148</v>
      </c>
      <c r="E530" s="180" t="s">
        <v>10</v>
      </c>
      <c r="F530" s="180"/>
      <c r="G530" s="71">
        <v>10</v>
      </c>
      <c r="H530" s="72" t="s">
        <v>10</v>
      </c>
    </row>
    <row r="531" spans="1:8" ht="14.5" x14ac:dyDescent="0.35">
      <c r="A531" s="1" t="s">
        <v>10</v>
      </c>
      <c r="B531" s="2" t="s">
        <v>10</v>
      </c>
      <c r="C531" s="2" t="s">
        <v>10</v>
      </c>
      <c r="D531" s="70" t="s">
        <v>125</v>
      </c>
      <c r="E531" s="180" t="s">
        <v>10</v>
      </c>
      <c r="F531" s="180"/>
      <c r="G531" s="71">
        <v>4</v>
      </c>
      <c r="H531" s="72" t="s">
        <v>10</v>
      </c>
    </row>
    <row r="532" spans="1:8" ht="14.5" x14ac:dyDescent="0.35">
      <c r="A532" s="1" t="s">
        <v>1043</v>
      </c>
      <c r="B532" s="2" t="s">
        <v>10</v>
      </c>
      <c r="C532" s="2" t="s">
        <v>1044</v>
      </c>
      <c r="D532" s="88" t="s">
        <v>1045</v>
      </c>
      <c r="E532" s="88"/>
      <c r="F532" s="2" t="s">
        <v>113</v>
      </c>
      <c r="G532" s="53">
        <v>327.79</v>
      </c>
      <c r="H532" s="68">
        <v>0</v>
      </c>
    </row>
    <row r="533" spans="1:8" ht="14.5" x14ac:dyDescent="0.35">
      <c r="A533" s="69"/>
      <c r="D533" s="70" t="s">
        <v>1643</v>
      </c>
      <c r="E533" s="180" t="s">
        <v>10</v>
      </c>
      <c r="F533" s="180"/>
      <c r="G533" s="71">
        <v>86.92</v>
      </c>
      <c r="H533" s="49"/>
    </row>
    <row r="534" spans="1:8" ht="14.5" x14ac:dyDescent="0.35">
      <c r="A534" s="1" t="s">
        <v>10</v>
      </c>
      <c r="B534" s="2" t="s">
        <v>10</v>
      </c>
      <c r="C534" s="2" t="s">
        <v>10</v>
      </c>
      <c r="D534" s="70" t="s">
        <v>1644</v>
      </c>
      <c r="E534" s="180" t="s">
        <v>10</v>
      </c>
      <c r="F534" s="180"/>
      <c r="G534" s="71">
        <v>60.85</v>
      </c>
      <c r="H534" s="72" t="s">
        <v>10</v>
      </c>
    </row>
    <row r="535" spans="1:8" ht="14.5" x14ac:dyDescent="0.35">
      <c r="A535" s="1" t="s">
        <v>10</v>
      </c>
      <c r="B535" s="2" t="s">
        <v>10</v>
      </c>
      <c r="C535" s="2" t="s">
        <v>10</v>
      </c>
      <c r="D535" s="70" t="s">
        <v>1645</v>
      </c>
      <c r="E535" s="180" t="s">
        <v>10</v>
      </c>
      <c r="F535" s="180"/>
      <c r="G535" s="71">
        <v>180.02</v>
      </c>
      <c r="H535" s="72" t="s">
        <v>10</v>
      </c>
    </row>
    <row r="536" spans="1:8" ht="14.5" x14ac:dyDescent="0.35">
      <c r="A536" s="1" t="s">
        <v>1046</v>
      </c>
      <c r="B536" s="2" t="s">
        <v>10</v>
      </c>
      <c r="C536" s="2" t="s">
        <v>1047</v>
      </c>
      <c r="D536" s="88" t="s">
        <v>1048</v>
      </c>
      <c r="E536" s="88"/>
      <c r="F536" s="2" t="s">
        <v>113</v>
      </c>
      <c r="G536" s="53">
        <v>311.98</v>
      </c>
      <c r="H536" s="68">
        <v>0</v>
      </c>
    </row>
    <row r="537" spans="1:8" ht="14.5" x14ac:dyDescent="0.35">
      <c r="A537" s="69"/>
      <c r="D537" s="70" t="s">
        <v>1646</v>
      </c>
      <c r="E537" s="180" t="s">
        <v>10</v>
      </c>
      <c r="F537" s="180"/>
      <c r="G537" s="71">
        <v>5.64</v>
      </c>
      <c r="H537" s="49"/>
    </row>
    <row r="538" spans="1:8" ht="14.5" x14ac:dyDescent="0.35">
      <c r="A538" s="1" t="s">
        <v>10</v>
      </c>
      <c r="B538" s="2" t="s">
        <v>10</v>
      </c>
      <c r="C538" s="2" t="s">
        <v>10</v>
      </c>
      <c r="D538" s="70" t="s">
        <v>1647</v>
      </c>
      <c r="E538" s="180" t="s">
        <v>10</v>
      </c>
      <c r="F538" s="180"/>
      <c r="G538" s="71">
        <v>21.13</v>
      </c>
      <c r="H538" s="72" t="s">
        <v>10</v>
      </c>
    </row>
    <row r="539" spans="1:8" ht="14.5" x14ac:dyDescent="0.35">
      <c r="A539" s="1" t="s">
        <v>10</v>
      </c>
      <c r="B539" s="2" t="s">
        <v>10</v>
      </c>
      <c r="C539" s="2" t="s">
        <v>10</v>
      </c>
      <c r="D539" s="70" t="s">
        <v>1648</v>
      </c>
      <c r="E539" s="180" t="s">
        <v>10</v>
      </c>
      <c r="F539" s="180"/>
      <c r="G539" s="71">
        <v>19.37</v>
      </c>
      <c r="H539" s="72" t="s">
        <v>10</v>
      </c>
    </row>
    <row r="540" spans="1:8" ht="14.5" x14ac:dyDescent="0.35">
      <c r="A540" s="1" t="s">
        <v>10</v>
      </c>
      <c r="B540" s="2" t="s">
        <v>10</v>
      </c>
      <c r="C540" s="2" t="s">
        <v>10</v>
      </c>
      <c r="D540" s="70" t="s">
        <v>1649</v>
      </c>
      <c r="E540" s="180" t="s">
        <v>10</v>
      </c>
      <c r="F540" s="180"/>
      <c r="G540" s="71">
        <v>9.77</v>
      </c>
      <c r="H540" s="72" t="s">
        <v>10</v>
      </c>
    </row>
    <row r="541" spans="1:8" ht="14.5" x14ac:dyDescent="0.35">
      <c r="A541" s="1" t="s">
        <v>10</v>
      </c>
      <c r="B541" s="2" t="s">
        <v>10</v>
      </c>
      <c r="C541" s="2" t="s">
        <v>10</v>
      </c>
      <c r="D541" s="70" t="s">
        <v>1650</v>
      </c>
      <c r="E541" s="180" t="s">
        <v>10</v>
      </c>
      <c r="F541" s="180"/>
      <c r="G541" s="71">
        <v>13.39</v>
      </c>
      <c r="H541" s="72" t="s">
        <v>10</v>
      </c>
    </row>
    <row r="542" spans="1:8" ht="14.5" x14ac:dyDescent="0.35">
      <c r="A542" s="1" t="s">
        <v>10</v>
      </c>
      <c r="B542" s="2" t="s">
        <v>10</v>
      </c>
      <c r="C542" s="2" t="s">
        <v>10</v>
      </c>
      <c r="D542" s="70" t="s">
        <v>1651</v>
      </c>
      <c r="E542" s="180" t="s">
        <v>10</v>
      </c>
      <c r="F542" s="180"/>
      <c r="G542" s="71">
        <v>5.63</v>
      </c>
      <c r="H542" s="72" t="s">
        <v>10</v>
      </c>
    </row>
    <row r="543" spans="1:8" ht="14.5" x14ac:dyDescent="0.35">
      <c r="A543" s="1" t="s">
        <v>10</v>
      </c>
      <c r="B543" s="2" t="s">
        <v>10</v>
      </c>
      <c r="C543" s="2" t="s">
        <v>10</v>
      </c>
      <c r="D543" s="70" t="s">
        <v>1652</v>
      </c>
      <c r="E543" s="180" t="s">
        <v>10</v>
      </c>
      <c r="F543" s="180"/>
      <c r="G543" s="71">
        <v>39.270000000000003</v>
      </c>
      <c r="H543" s="72" t="s">
        <v>10</v>
      </c>
    </row>
    <row r="544" spans="1:8" ht="14.5" x14ac:dyDescent="0.35">
      <c r="A544" s="1" t="s">
        <v>10</v>
      </c>
      <c r="B544" s="2" t="s">
        <v>10</v>
      </c>
      <c r="C544" s="2" t="s">
        <v>10</v>
      </c>
      <c r="D544" s="70" t="s">
        <v>1653</v>
      </c>
      <c r="E544" s="180" t="s">
        <v>10</v>
      </c>
      <c r="F544" s="180"/>
      <c r="G544" s="71">
        <v>33.659999999999997</v>
      </c>
      <c r="H544" s="72" t="s">
        <v>10</v>
      </c>
    </row>
    <row r="545" spans="1:8" ht="14.5" x14ac:dyDescent="0.35">
      <c r="A545" s="1" t="s">
        <v>10</v>
      </c>
      <c r="B545" s="2" t="s">
        <v>10</v>
      </c>
      <c r="C545" s="2" t="s">
        <v>10</v>
      </c>
      <c r="D545" s="70" t="s">
        <v>1653</v>
      </c>
      <c r="E545" s="180" t="s">
        <v>10</v>
      </c>
      <c r="F545" s="180"/>
      <c r="G545" s="71">
        <v>33.659999999999997</v>
      </c>
      <c r="H545" s="72" t="s">
        <v>10</v>
      </c>
    </row>
    <row r="546" spans="1:8" ht="14.5" x14ac:dyDescent="0.35">
      <c r="A546" s="1" t="s">
        <v>10</v>
      </c>
      <c r="B546" s="2" t="s">
        <v>10</v>
      </c>
      <c r="C546" s="2" t="s">
        <v>10</v>
      </c>
      <c r="D546" s="70" t="s">
        <v>1654</v>
      </c>
      <c r="E546" s="180" t="s">
        <v>1655</v>
      </c>
      <c r="F546" s="180"/>
      <c r="G546" s="71">
        <v>34.78</v>
      </c>
      <c r="H546" s="72" t="s">
        <v>10</v>
      </c>
    </row>
    <row r="547" spans="1:8" ht="14.5" x14ac:dyDescent="0.35">
      <c r="A547" s="1" t="s">
        <v>10</v>
      </c>
      <c r="B547" s="2" t="s">
        <v>10</v>
      </c>
      <c r="C547" s="2" t="s">
        <v>10</v>
      </c>
      <c r="D547" s="70" t="s">
        <v>1656</v>
      </c>
      <c r="E547" s="180" t="s">
        <v>1655</v>
      </c>
      <c r="F547" s="180"/>
      <c r="G547" s="71">
        <v>44.77</v>
      </c>
      <c r="H547" s="72" t="s">
        <v>10</v>
      </c>
    </row>
    <row r="548" spans="1:8" ht="14.5" x14ac:dyDescent="0.35">
      <c r="A548" s="1" t="s">
        <v>10</v>
      </c>
      <c r="B548" s="2" t="s">
        <v>10</v>
      </c>
      <c r="C548" s="2" t="s">
        <v>10</v>
      </c>
      <c r="D548" s="70" t="s">
        <v>1657</v>
      </c>
      <c r="E548" s="180" t="s">
        <v>1655</v>
      </c>
      <c r="F548" s="180"/>
      <c r="G548" s="71">
        <v>29.66</v>
      </c>
      <c r="H548" s="72" t="s">
        <v>10</v>
      </c>
    </row>
    <row r="549" spans="1:8" ht="14.5" x14ac:dyDescent="0.35">
      <c r="A549" s="1" t="s">
        <v>10</v>
      </c>
      <c r="B549" s="2" t="s">
        <v>10</v>
      </c>
      <c r="C549" s="2" t="s">
        <v>10</v>
      </c>
      <c r="D549" s="70" t="s">
        <v>1658</v>
      </c>
      <c r="E549" s="180" t="s">
        <v>1655</v>
      </c>
      <c r="F549" s="180"/>
      <c r="G549" s="71">
        <v>21.25</v>
      </c>
      <c r="H549" s="72" t="s">
        <v>10</v>
      </c>
    </row>
    <row r="550" spans="1:8" ht="14.5" x14ac:dyDescent="0.35">
      <c r="A550" s="1" t="s">
        <v>1049</v>
      </c>
      <c r="B550" s="2" t="s">
        <v>10</v>
      </c>
      <c r="C550" s="2" t="s">
        <v>1050</v>
      </c>
      <c r="D550" s="181" t="s">
        <v>122</v>
      </c>
      <c r="E550" s="181" t="s">
        <v>10</v>
      </c>
      <c r="F550" s="181"/>
      <c r="G550" s="71">
        <v>3</v>
      </c>
      <c r="H550" s="68">
        <v>0</v>
      </c>
    </row>
    <row r="551" spans="1:8" ht="14.5" x14ac:dyDescent="0.35">
      <c r="A551" s="1" t="s">
        <v>1052</v>
      </c>
      <c r="B551" s="2" t="s">
        <v>10</v>
      </c>
      <c r="C551" s="2" t="s">
        <v>1053</v>
      </c>
      <c r="D551" s="88" t="s">
        <v>1054</v>
      </c>
      <c r="E551" s="88"/>
      <c r="F551" s="2" t="s">
        <v>113</v>
      </c>
      <c r="G551" s="53">
        <v>38</v>
      </c>
      <c r="H551" s="68">
        <v>0</v>
      </c>
    </row>
    <row r="552" spans="1:8" ht="14.5" x14ac:dyDescent="0.35">
      <c r="A552" s="69"/>
      <c r="D552" s="70" t="s">
        <v>209</v>
      </c>
      <c r="E552" s="180" t="s">
        <v>10</v>
      </c>
      <c r="F552" s="180"/>
      <c r="G552" s="71">
        <v>28</v>
      </c>
      <c r="H552" s="49"/>
    </row>
    <row r="553" spans="1:8" ht="14.5" x14ac:dyDescent="0.35">
      <c r="A553" s="1" t="s">
        <v>10</v>
      </c>
      <c r="B553" s="2" t="s">
        <v>10</v>
      </c>
      <c r="C553" s="2" t="s">
        <v>10</v>
      </c>
      <c r="D553" s="70" t="s">
        <v>128</v>
      </c>
      <c r="E553" s="180" t="s">
        <v>1507</v>
      </c>
      <c r="F553" s="180"/>
      <c r="G553" s="71">
        <v>5</v>
      </c>
      <c r="H553" s="72" t="s">
        <v>10</v>
      </c>
    </row>
    <row r="554" spans="1:8" ht="14.5" x14ac:dyDescent="0.35">
      <c r="A554" s="1" t="s">
        <v>10</v>
      </c>
      <c r="B554" s="2" t="s">
        <v>10</v>
      </c>
      <c r="C554" s="2" t="s">
        <v>10</v>
      </c>
      <c r="D554" s="70" t="s">
        <v>128</v>
      </c>
      <c r="E554" s="180" t="s">
        <v>10</v>
      </c>
      <c r="F554" s="180"/>
      <c r="G554" s="71">
        <v>5</v>
      </c>
      <c r="H554" s="72" t="s">
        <v>10</v>
      </c>
    </row>
    <row r="555" spans="1:8" ht="14.5" x14ac:dyDescent="0.35">
      <c r="A555" s="1" t="s">
        <v>1055</v>
      </c>
      <c r="B555" s="2" t="s">
        <v>10</v>
      </c>
      <c r="C555" s="2" t="s">
        <v>1056</v>
      </c>
      <c r="D555" s="88" t="s">
        <v>1057</v>
      </c>
      <c r="E555" s="88"/>
      <c r="F555" s="2" t="s">
        <v>113</v>
      </c>
      <c r="G555" s="53">
        <v>26.78</v>
      </c>
      <c r="H555" s="68">
        <v>0</v>
      </c>
    </row>
    <row r="556" spans="1:8" ht="14.5" x14ac:dyDescent="0.35">
      <c r="A556" s="69"/>
      <c r="D556" s="70" t="s">
        <v>1659</v>
      </c>
      <c r="E556" s="180" t="s">
        <v>10</v>
      </c>
      <c r="F556" s="180"/>
      <c r="G556" s="71">
        <v>13.2</v>
      </c>
      <c r="H556" s="49"/>
    </row>
    <row r="557" spans="1:8" ht="14.5" x14ac:dyDescent="0.35">
      <c r="A557" s="1" t="s">
        <v>10</v>
      </c>
      <c r="B557" s="2" t="s">
        <v>10</v>
      </c>
      <c r="C557" s="2" t="s">
        <v>10</v>
      </c>
      <c r="D557" s="70" t="s">
        <v>1660</v>
      </c>
      <c r="E557" s="180" t="s">
        <v>10</v>
      </c>
      <c r="F557" s="180"/>
      <c r="G557" s="71">
        <v>13.58</v>
      </c>
      <c r="H557" s="72" t="s">
        <v>10</v>
      </c>
    </row>
    <row r="558" spans="1:8" ht="14.5" x14ac:dyDescent="0.35">
      <c r="A558" s="1" t="s">
        <v>1058</v>
      </c>
      <c r="B558" s="2" t="s">
        <v>10</v>
      </c>
      <c r="C558" s="2" t="s">
        <v>1059</v>
      </c>
      <c r="D558" s="88" t="s">
        <v>1060</v>
      </c>
      <c r="E558" s="88"/>
      <c r="F558" s="2" t="s">
        <v>113</v>
      </c>
      <c r="G558" s="53">
        <v>7.56</v>
      </c>
      <c r="H558" s="68">
        <v>0</v>
      </c>
    </row>
    <row r="559" spans="1:8" ht="14.5" x14ac:dyDescent="0.35">
      <c r="A559" s="69"/>
      <c r="D559" s="70" t="s">
        <v>1661</v>
      </c>
      <c r="E559" s="180" t="s">
        <v>10</v>
      </c>
      <c r="F559" s="180"/>
      <c r="G559" s="71">
        <v>4.32</v>
      </c>
      <c r="H559" s="49"/>
    </row>
    <row r="560" spans="1:8" ht="14.5" x14ac:dyDescent="0.35">
      <c r="A560" s="1" t="s">
        <v>10</v>
      </c>
      <c r="B560" s="2" t="s">
        <v>10</v>
      </c>
      <c r="C560" s="2" t="s">
        <v>10</v>
      </c>
      <c r="D560" s="70" t="s">
        <v>1662</v>
      </c>
      <c r="E560" s="180" t="s">
        <v>10</v>
      </c>
      <c r="F560" s="180"/>
      <c r="G560" s="71">
        <v>3.24</v>
      </c>
      <c r="H560" s="72" t="s">
        <v>10</v>
      </c>
    </row>
    <row r="561" spans="1:8" ht="14.5" x14ac:dyDescent="0.35">
      <c r="A561" s="1" t="s">
        <v>1061</v>
      </c>
      <c r="B561" s="2" t="s">
        <v>10</v>
      </c>
      <c r="C561" s="2" t="s">
        <v>1062</v>
      </c>
      <c r="D561" s="181" t="s">
        <v>1663</v>
      </c>
      <c r="E561" s="181" t="s">
        <v>10</v>
      </c>
      <c r="F561" s="181"/>
      <c r="G561" s="71">
        <v>7.5</v>
      </c>
      <c r="H561" s="68">
        <v>0</v>
      </c>
    </row>
    <row r="562" spans="1:8" ht="14.5" x14ac:dyDescent="0.35">
      <c r="A562" s="1" t="s">
        <v>1064</v>
      </c>
      <c r="B562" s="2" t="s">
        <v>10</v>
      </c>
      <c r="C562" s="2" t="s">
        <v>1065</v>
      </c>
      <c r="D562" s="181" t="s">
        <v>118</v>
      </c>
      <c r="E562" s="181" t="s">
        <v>10</v>
      </c>
      <c r="F562" s="181"/>
      <c r="G562" s="71">
        <v>2</v>
      </c>
      <c r="H562" s="68">
        <v>0</v>
      </c>
    </row>
    <row r="563" spans="1:8" ht="14.5" x14ac:dyDescent="0.35">
      <c r="A563" s="73" t="s">
        <v>10</v>
      </c>
      <c r="B563" s="51" t="s">
        <v>10</v>
      </c>
      <c r="C563" s="51" t="s">
        <v>1067</v>
      </c>
      <c r="D563" s="173" t="s">
        <v>1068</v>
      </c>
      <c r="E563" s="173"/>
      <c r="F563" s="51" t="s">
        <v>10</v>
      </c>
      <c r="G563" s="36" t="s">
        <v>10</v>
      </c>
      <c r="H563" s="74" t="s">
        <v>10</v>
      </c>
    </row>
    <row r="564" spans="1:8" ht="14.5" x14ac:dyDescent="0.35">
      <c r="A564" s="1" t="s">
        <v>1069</v>
      </c>
      <c r="B564" s="2" t="s">
        <v>10</v>
      </c>
      <c r="C564" s="2" t="s">
        <v>1070</v>
      </c>
      <c r="D564" s="181" t="s">
        <v>949</v>
      </c>
      <c r="E564" s="181" t="s">
        <v>10</v>
      </c>
      <c r="F564" s="181"/>
      <c r="G564" s="71">
        <v>252</v>
      </c>
      <c r="H564" s="68">
        <v>0</v>
      </c>
    </row>
    <row r="565" spans="1:8" ht="14.5" x14ac:dyDescent="0.35">
      <c r="A565" s="73" t="s">
        <v>10</v>
      </c>
      <c r="B565" s="51" t="s">
        <v>10</v>
      </c>
      <c r="C565" s="51" t="s">
        <v>1073</v>
      </c>
      <c r="D565" s="173" t="s">
        <v>1074</v>
      </c>
      <c r="E565" s="173"/>
      <c r="F565" s="51" t="s">
        <v>10</v>
      </c>
      <c r="G565" s="36" t="s">
        <v>10</v>
      </c>
      <c r="H565" s="74" t="s">
        <v>10</v>
      </c>
    </row>
    <row r="566" spans="1:8" ht="14.5" x14ac:dyDescent="0.35">
      <c r="A566" s="1" t="s">
        <v>1075</v>
      </c>
      <c r="B566" s="2" t="s">
        <v>10</v>
      </c>
      <c r="C566" s="2" t="s">
        <v>1076</v>
      </c>
      <c r="D566" s="181" t="s">
        <v>125</v>
      </c>
      <c r="E566" s="181" t="s">
        <v>10</v>
      </c>
      <c r="F566" s="181"/>
      <c r="G566" s="71">
        <v>4</v>
      </c>
      <c r="H566" s="68">
        <v>0</v>
      </c>
    </row>
    <row r="567" spans="1:8" ht="14.5" x14ac:dyDescent="0.35">
      <c r="A567" s="1" t="s">
        <v>1079</v>
      </c>
      <c r="B567" s="2" t="s">
        <v>10</v>
      </c>
      <c r="C567" s="2" t="s">
        <v>1080</v>
      </c>
      <c r="D567" s="181" t="s">
        <v>122</v>
      </c>
      <c r="E567" s="181" t="s">
        <v>10</v>
      </c>
      <c r="F567" s="181"/>
      <c r="G567" s="71">
        <v>3</v>
      </c>
      <c r="H567" s="68">
        <v>0</v>
      </c>
    </row>
    <row r="568" spans="1:8" ht="14.5" x14ac:dyDescent="0.35">
      <c r="A568" s="1" t="s">
        <v>1082</v>
      </c>
      <c r="B568" s="2" t="s">
        <v>10</v>
      </c>
      <c r="C568" s="2" t="s">
        <v>1083</v>
      </c>
      <c r="D568" s="181" t="s">
        <v>316</v>
      </c>
      <c r="E568" s="181" t="s">
        <v>10</v>
      </c>
      <c r="F568" s="181"/>
      <c r="G568" s="71">
        <v>55</v>
      </c>
      <c r="H568" s="68">
        <v>0</v>
      </c>
    </row>
    <row r="569" spans="1:8" ht="14.5" x14ac:dyDescent="0.35">
      <c r="A569" s="1" t="s">
        <v>1085</v>
      </c>
      <c r="B569" s="2" t="s">
        <v>10</v>
      </c>
      <c r="C569" s="2" t="s">
        <v>1086</v>
      </c>
      <c r="D569" s="181" t="s">
        <v>145</v>
      </c>
      <c r="E569" s="181" t="s">
        <v>10</v>
      </c>
      <c r="F569" s="181"/>
      <c r="G569" s="71">
        <v>9</v>
      </c>
      <c r="H569" s="68">
        <v>0</v>
      </c>
    </row>
    <row r="570" spans="1:8" ht="14.5" x14ac:dyDescent="0.35">
      <c r="A570" s="1" t="s">
        <v>1088</v>
      </c>
      <c r="B570" s="2" t="s">
        <v>10</v>
      </c>
      <c r="C570" s="2" t="s">
        <v>1089</v>
      </c>
      <c r="D570" s="181" t="s">
        <v>187</v>
      </c>
      <c r="E570" s="181" t="s">
        <v>10</v>
      </c>
      <c r="F570" s="181"/>
      <c r="G570" s="71">
        <v>22</v>
      </c>
      <c r="H570" s="68">
        <v>0</v>
      </c>
    </row>
    <row r="571" spans="1:8" ht="14.5" x14ac:dyDescent="0.35">
      <c r="A571" s="1" t="s">
        <v>1091</v>
      </c>
      <c r="B571" s="2" t="s">
        <v>10</v>
      </c>
      <c r="C571" s="2" t="s">
        <v>1092</v>
      </c>
      <c r="D571" s="181" t="s">
        <v>145</v>
      </c>
      <c r="E571" s="181" t="s">
        <v>10</v>
      </c>
      <c r="F571" s="181"/>
      <c r="G571" s="71">
        <v>9</v>
      </c>
      <c r="H571" s="68">
        <v>0</v>
      </c>
    </row>
    <row r="572" spans="1:8" ht="14.5" x14ac:dyDescent="0.35">
      <c r="A572" s="1" t="s">
        <v>1094</v>
      </c>
      <c r="B572" s="2" t="s">
        <v>10</v>
      </c>
      <c r="C572" s="2" t="s">
        <v>1095</v>
      </c>
      <c r="D572" s="181" t="s">
        <v>125</v>
      </c>
      <c r="E572" s="181" t="s">
        <v>10</v>
      </c>
      <c r="F572" s="181"/>
      <c r="G572" s="71">
        <v>4</v>
      </c>
      <c r="H572" s="68">
        <v>0</v>
      </c>
    </row>
    <row r="573" spans="1:8" ht="14.5" x14ac:dyDescent="0.35">
      <c r="A573" s="1" t="s">
        <v>1097</v>
      </c>
      <c r="B573" s="2" t="s">
        <v>10</v>
      </c>
      <c r="C573" s="2" t="s">
        <v>1098</v>
      </c>
      <c r="D573" s="181" t="s">
        <v>148</v>
      </c>
      <c r="E573" s="181" t="s">
        <v>10</v>
      </c>
      <c r="F573" s="181"/>
      <c r="G573" s="71">
        <v>10</v>
      </c>
      <c r="H573" s="68">
        <v>0</v>
      </c>
    </row>
    <row r="574" spans="1:8" ht="14.5" x14ac:dyDescent="0.35">
      <c r="A574" s="1" t="s">
        <v>1100</v>
      </c>
      <c r="B574" s="2" t="s">
        <v>10</v>
      </c>
      <c r="C574" s="2" t="s">
        <v>1101</v>
      </c>
      <c r="D574" s="181" t="s">
        <v>128</v>
      </c>
      <c r="E574" s="181" t="s">
        <v>10</v>
      </c>
      <c r="F574" s="181"/>
      <c r="G574" s="71">
        <v>5</v>
      </c>
      <c r="H574" s="68">
        <v>0</v>
      </c>
    </row>
    <row r="575" spans="1:8" ht="14.5" x14ac:dyDescent="0.35">
      <c r="A575" s="1" t="s">
        <v>1103</v>
      </c>
      <c r="B575" s="2" t="s">
        <v>10</v>
      </c>
      <c r="C575" s="2" t="s">
        <v>1104</v>
      </c>
      <c r="D575" s="181" t="s">
        <v>128</v>
      </c>
      <c r="E575" s="181" t="s">
        <v>10</v>
      </c>
      <c r="F575" s="181"/>
      <c r="G575" s="71">
        <v>5</v>
      </c>
      <c r="H575" s="68">
        <v>0</v>
      </c>
    </row>
    <row r="576" spans="1:8" ht="14.5" x14ac:dyDescent="0.35">
      <c r="A576" s="1" t="s">
        <v>1106</v>
      </c>
      <c r="B576" s="2" t="s">
        <v>10</v>
      </c>
      <c r="C576" s="2" t="s">
        <v>1107</v>
      </c>
      <c r="D576" s="181" t="s">
        <v>128</v>
      </c>
      <c r="E576" s="181" t="s">
        <v>10</v>
      </c>
      <c r="F576" s="181"/>
      <c r="G576" s="71">
        <v>5</v>
      </c>
      <c r="H576" s="68">
        <v>0</v>
      </c>
    </row>
    <row r="577" spans="1:8" ht="14.5" x14ac:dyDescent="0.35">
      <c r="A577" s="1" t="s">
        <v>1109</v>
      </c>
      <c r="B577" s="2" t="s">
        <v>10</v>
      </c>
      <c r="C577" s="2" t="s">
        <v>1110</v>
      </c>
      <c r="D577" s="181" t="s">
        <v>228</v>
      </c>
      <c r="E577" s="181" t="s">
        <v>10</v>
      </c>
      <c r="F577" s="181"/>
      <c r="G577" s="71">
        <v>32</v>
      </c>
      <c r="H577" s="68">
        <v>0</v>
      </c>
    </row>
    <row r="578" spans="1:8" ht="14.5" x14ac:dyDescent="0.35">
      <c r="A578" s="1" t="s">
        <v>1112</v>
      </c>
      <c r="B578" s="2" t="s">
        <v>10</v>
      </c>
      <c r="C578" s="2" t="s">
        <v>1113</v>
      </c>
      <c r="D578" s="181" t="s">
        <v>118</v>
      </c>
      <c r="E578" s="181" t="s">
        <v>10</v>
      </c>
      <c r="F578" s="181"/>
      <c r="G578" s="71">
        <v>2</v>
      </c>
      <c r="H578" s="68">
        <v>0</v>
      </c>
    </row>
    <row r="579" spans="1:8" ht="14.5" x14ac:dyDescent="0.35">
      <c r="A579" s="1" t="s">
        <v>1115</v>
      </c>
      <c r="B579" s="2" t="s">
        <v>10</v>
      </c>
      <c r="C579" s="2" t="s">
        <v>1116</v>
      </c>
      <c r="D579" s="181" t="s">
        <v>187</v>
      </c>
      <c r="E579" s="181" t="s">
        <v>10</v>
      </c>
      <c r="F579" s="181"/>
      <c r="G579" s="71">
        <v>22</v>
      </c>
      <c r="H579" s="68">
        <v>0</v>
      </c>
    </row>
    <row r="580" spans="1:8" ht="14.5" x14ac:dyDescent="0.35">
      <c r="A580" s="1" t="s">
        <v>1118</v>
      </c>
      <c r="B580" s="2" t="s">
        <v>10</v>
      </c>
      <c r="C580" s="2" t="s">
        <v>1119</v>
      </c>
      <c r="D580" s="181" t="s">
        <v>131</v>
      </c>
      <c r="E580" s="181" t="s">
        <v>10</v>
      </c>
      <c r="F580" s="181"/>
      <c r="G580" s="71">
        <v>6</v>
      </c>
      <c r="H580" s="68">
        <v>0</v>
      </c>
    </row>
    <row r="581" spans="1:8" ht="14.5" x14ac:dyDescent="0.35">
      <c r="A581" s="1" t="s">
        <v>1121</v>
      </c>
      <c r="B581" s="2" t="s">
        <v>10</v>
      </c>
      <c r="C581" s="2" t="s">
        <v>1122</v>
      </c>
      <c r="D581" s="181" t="s">
        <v>134</v>
      </c>
      <c r="E581" s="181" t="s">
        <v>10</v>
      </c>
      <c r="F581" s="181"/>
      <c r="G581" s="71">
        <v>7</v>
      </c>
      <c r="H581" s="68">
        <v>0</v>
      </c>
    </row>
    <row r="582" spans="1:8" ht="14.5" x14ac:dyDescent="0.35">
      <c r="A582" s="1" t="s">
        <v>1124</v>
      </c>
      <c r="B582" s="2" t="s">
        <v>10</v>
      </c>
      <c r="C582" s="2" t="s">
        <v>1125</v>
      </c>
      <c r="D582" s="181" t="s">
        <v>122</v>
      </c>
      <c r="E582" s="181" t="s">
        <v>10</v>
      </c>
      <c r="F582" s="181"/>
      <c r="G582" s="71">
        <v>3</v>
      </c>
      <c r="H582" s="68">
        <v>0</v>
      </c>
    </row>
    <row r="583" spans="1:8" ht="14.5" x14ac:dyDescent="0.35">
      <c r="A583" s="1" t="s">
        <v>1127</v>
      </c>
      <c r="B583" s="2" t="s">
        <v>10</v>
      </c>
      <c r="C583" s="2" t="s">
        <v>1128</v>
      </c>
      <c r="D583" s="181" t="s">
        <v>118</v>
      </c>
      <c r="E583" s="181" t="s">
        <v>10</v>
      </c>
      <c r="F583" s="181"/>
      <c r="G583" s="71">
        <v>2</v>
      </c>
      <c r="H583" s="68">
        <v>0</v>
      </c>
    </row>
    <row r="584" spans="1:8" ht="14.5" x14ac:dyDescent="0.35">
      <c r="A584" s="1" t="s">
        <v>1130</v>
      </c>
      <c r="B584" s="2" t="s">
        <v>10</v>
      </c>
      <c r="C584" s="2" t="s">
        <v>1131</v>
      </c>
      <c r="D584" s="181" t="s">
        <v>125</v>
      </c>
      <c r="E584" s="181" t="s">
        <v>10</v>
      </c>
      <c r="F584" s="181"/>
      <c r="G584" s="71">
        <v>4</v>
      </c>
      <c r="H584" s="68">
        <v>0</v>
      </c>
    </row>
    <row r="585" spans="1:8" ht="14.5" x14ac:dyDescent="0.35">
      <c r="A585" s="1" t="s">
        <v>1133</v>
      </c>
      <c r="B585" s="2" t="s">
        <v>10</v>
      </c>
      <c r="C585" s="2" t="s">
        <v>1134</v>
      </c>
      <c r="D585" s="181" t="s">
        <v>552</v>
      </c>
      <c r="E585" s="181" t="s">
        <v>10</v>
      </c>
      <c r="F585" s="181"/>
      <c r="G585" s="71">
        <v>128</v>
      </c>
      <c r="H585" s="68">
        <v>0</v>
      </c>
    </row>
    <row r="586" spans="1:8" ht="14.5" x14ac:dyDescent="0.35">
      <c r="A586" s="1" t="s">
        <v>1136</v>
      </c>
      <c r="B586" s="2" t="s">
        <v>10</v>
      </c>
      <c r="C586" s="2" t="s">
        <v>1137</v>
      </c>
      <c r="D586" s="181" t="s">
        <v>122</v>
      </c>
      <c r="E586" s="181" t="s">
        <v>10</v>
      </c>
      <c r="F586" s="181"/>
      <c r="G586" s="71">
        <v>3</v>
      </c>
      <c r="H586" s="68">
        <v>0</v>
      </c>
    </row>
    <row r="587" spans="1:8" ht="14.5" x14ac:dyDescent="0.35">
      <c r="A587" s="1" t="s">
        <v>1139</v>
      </c>
      <c r="B587" s="2" t="s">
        <v>10</v>
      </c>
      <c r="C587" s="2" t="s">
        <v>1140</v>
      </c>
      <c r="D587" s="181" t="s">
        <v>740</v>
      </c>
      <c r="E587" s="181" t="s">
        <v>10</v>
      </c>
      <c r="F587" s="181"/>
      <c r="G587" s="71">
        <v>190</v>
      </c>
      <c r="H587" s="68">
        <v>0</v>
      </c>
    </row>
    <row r="588" spans="1:8" ht="14.5" x14ac:dyDescent="0.35">
      <c r="A588" s="1" t="s">
        <v>1142</v>
      </c>
      <c r="B588" s="2" t="s">
        <v>10</v>
      </c>
      <c r="C588" s="2" t="s">
        <v>1143</v>
      </c>
      <c r="D588" s="181" t="s">
        <v>408</v>
      </c>
      <c r="E588" s="181" t="s">
        <v>10</v>
      </c>
      <c r="F588" s="181"/>
      <c r="G588" s="71">
        <v>85</v>
      </c>
      <c r="H588" s="68">
        <v>0</v>
      </c>
    </row>
    <row r="589" spans="1:8" ht="14.5" x14ac:dyDescent="0.35">
      <c r="A589" s="1" t="s">
        <v>1145</v>
      </c>
      <c r="B589" s="2" t="s">
        <v>10</v>
      </c>
      <c r="C589" s="2" t="s">
        <v>1146</v>
      </c>
      <c r="D589" s="181" t="s">
        <v>118</v>
      </c>
      <c r="E589" s="181" t="s">
        <v>10</v>
      </c>
      <c r="F589" s="181"/>
      <c r="G589" s="71">
        <v>2</v>
      </c>
      <c r="H589" s="68">
        <v>0</v>
      </c>
    </row>
    <row r="590" spans="1:8" ht="14.5" x14ac:dyDescent="0.35">
      <c r="A590" s="1" t="s">
        <v>1148</v>
      </c>
      <c r="B590" s="2" t="s">
        <v>10</v>
      </c>
      <c r="C590" s="2" t="s">
        <v>1149</v>
      </c>
      <c r="D590" s="181" t="s">
        <v>574</v>
      </c>
      <c r="E590" s="181" t="s">
        <v>10</v>
      </c>
      <c r="F590" s="181"/>
      <c r="G590" s="71">
        <v>135</v>
      </c>
      <c r="H590" s="68">
        <v>0</v>
      </c>
    </row>
    <row r="591" spans="1:8" ht="14.5" x14ac:dyDescent="0.35">
      <c r="A591" s="1" t="s">
        <v>1151</v>
      </c>
      <c r="B591" s="2" t="s">
        <v>10</v>
      </c>
      <c r="C591" s="2" t="s">
        <v>1152</v>
      </c>
      <c r="D591" s="181" t="s">
        <v>180</v>
      </c>
      <c r="E591" s="181" t="s">
        <v>10</v>
      </c>
      <c r="F591" s="181"/>
      <c r="G591" s="71">
        <v>20</v>
      </c>
      <c r="H591" s="68">
        <v>0</v>
      </c>
    </row>
    <row r="592" spans="1:8" ht="14.5" x14ac:dyDescent="0.35">
      <c r="A592" s="1" t="s">
        <v>1154</v>
      </c>
      <c r="B592" s="2" t="s">
        <v>10</v>
      </c>
      <c r="C592" s="2" t="s">
        <v>1155</v>
      </c>
      <c r="D592" s="181" t="s">
        <v>198</v>
      </c>
      <c r="E592" s="181" t="s">
        <v>10</v>
      </c>
      <c r="F592" s="181"/>
      <c r="G592" s="71">
        <v>25</v>
      </c>
      <c r="H592" s="68">
        <v>0</v>
      </c>
    </row>
    <row r="593" spans="1:8" ht="14.5" x14ac:dyDescent="0.35">
      <c r="A593" s="1" t="s">
        <v>1157</v>
      </c>
      <c r="B593" s="2" t="s">
        <v>10</v>
      </c>
      <c r="C593" s="2" t="s">
        <v>1158</v>
      </c>
      <c r="D593" s="181" t="s">
        <v>632</v>
      </c>
      <c r="E593" s="181" t="s">
        <v>10</v>
      </c>
      <c r="F593" s="181"/>
      <c r="G593" s="71">
        <v>155</v>
      </c>
      <c r="H593" s="68">
        <v>0</v>
      </c>
    </row>
    <row r="594" spans="1:8" ht="14.5" x14ac:dyDescent="0.35">
      <c r="A594" s="1" t="s">
        <v>1160</v>
      </c>
      <c r="B594" s="2" t="s">
        <v>10</v>
      </c>
      <c r="C594" s="2" t="s">
        <v>1161</v>
      </c>
      <c r="D594" s="181" t="s">
        <v>198</v>
      </c>
      <c r="E594" s="181" t="s">
        <v>10</v>
      </c>
      <c r="F594" s="181"/>
      <c r="G594" s="71">
        <v>25</v>
      </c>
      <c r="H594" s="68">
        <v>0</v>
      </c>
    </row>
    <row r="595" spans="1:8" ht="14.5" x14ac:dyDescent="0.35">
      <c r="A595" s="1" t="s">
        <v>1163</v>
      </c>
      <c r="B595" s="2" t="s">
        <v>10</v>
      </c>
      <c r="C595" s="2" t="s">
        <v>1164</v>
      </c>
      <c r="D595" s="181" t="s">
        <v>427</v>
      </c>
      <c r="E595" s="181" t="s">
        <v>10</v>
      </c>
      <c r="F595" s="181"/>
      <c r="G595" s="71">
        <v>90</v>
      </c>
      <c r="H595" s="68">
        <v>0</v>
      </c>
    </row>
    <row r="596" spans="1:8" ht="14.5" x14ac:dyDescent="0.35">
      <c r="A596" s="1" t="s">
        <v>1166</v>
      </c>
      <c r="B596" s="2" t="s">
        <v>10</v>
      </c>
      <c r="C596" s="2" t="s">
        <v>1167</v>
      </c>
      <c r="D596" s="181" t="s">
        <v>559</v>
      </c>
      <c r="E596" s="181" t="s">
        <v>10</v>
      </c>
      <c r="F596" s="181"/>
      <c r="G596" s="71">
        <v>130</v>
      </c>
      <c r="H596" s="68">
        <v>0</v>
      </c>
    </row>
    <row r="597" spans="1:8" ht="14.5" x14ac:dyDescent="0.35">
      <c r="A597" s="1" t="s">
        <v>1169</v>
      </c>
      <c r="B597" s="2" t="s">
        <v>10</v>
      </c>
      <c r="C597" s="2" t="s">
        <v>1170</v>
      </c>
      <c r="D597" s="181" t="s">
        <v>378</v>
      </c>
      <c r="E597" s="181" t="s">
        <v>10</v>
      </c>
      <c r="F597" s="181"/>
      <c r="G597" s="71">
        <v>75</v>
      </c>
      <c r="H597" s="68">
        <v>0</v>
      </c>
    </row>
    <row r="598" spans="1:8" ht="14.5" x14ac:dyDescent="0.35">
      <c r="A598" s="1" t="s">
        <v>1172</v>
      </c>
      <c r="B598" s="2" t="s">
        <v>10</v>
      </c>
      <c r="C598" s="2" t="s">
        <v>1173</v>
      </c>
      <c r="D598" s="181" t="s">
        <v>538</v>
      </c>
      <c r="E598" s="181" t="s">
        <v>10</v>
      </c>
      <c r="F598" s="181"/>
      <c r="G598" s="71">
        <v>125</v>
      </c>
      <c r="H598" s="68">
        <v>0</v>
      </c>
    </row>
    <row r="599" spans="1:8" ht="14.5" x14ac:dyDescent="0.35">
      <c r="A599" s="1" t="s">
        <v>1175</v>
      </c>
      <c r="B599" s="2" t="s">
        <v>10</v>
      </c>
      <c r="C599" s="2" t="s">
        <v>1176</v>
      </c>
      <c r="D599" s="181" t="s">
        <v>1664</v>
      </c>
      <c r="E599" s="181" t="s">
        <v>10</v>
      </c>
      <c r="F599" s="181"/>
      <c r="G599" s="71">
        <v>2055</v>
      </c>
      <c r="H599" s="68">
        <v>0</v>
      </c>
    </row>
    <row r="600" spans="1:8" ht="14.5" x14ac:dyDescent="0.35">
      <c r="A600" s="1" t="s">
        <v>1178</v>
      </c>
      <c r="B600" s="2" t="s">
        <v>10</v>
      </c>
      <c r="C600" s="2" t="s">
        <v>1179</v>
      </c>
      <c r="D600" s="181" t="s">
        <v>1665</v>
      </c>
      <c r="E600" s="181" t="s">
        <v>10</v>
      </c>
      <c r="F600" s="181"/>
      <c r="G600" s="71">
        <v>720</v>
      </c>
      <c r="H600" s="68">
        <v>0</v>
      </c>
    </row>
    <row r="601" spans="1:8" ht="14.5" x14ac:dyDescent="0.35">
      <c r="A601" s="1" t="s">
        <v>1181</v>
      </c>
      <c r="B601" s="2" t="s">
        <v>10</v>
      </c>
      <c r="C601" s="2" t="s">
        <v>1182</v>
      </c>
      <c r="D601" s="181" t="s">
        <v>1666</v>
      </c>
      <c r="E601" s="181" t="s">
        <v>10</v>
      </c>
      <c r="F601" s="181"/>
      <c r="G601" s="71">
        <v>425</v>
      </c>
      <c r="H601" s="68">
        <v>0</v>
      </c>
    </row>
    <row r="602" spans="1:8" ht="14.5" x14ac:dyDescent="0.35">
      <c r="A602" s="1" t="s">
        <v>1184</v>
      </c>
      <c r="B602" s="2" t="s">
        <v>10</v>
      </c>
      <c r="C602" s="2" t="s">
        <v>1185</v>
      </c>
      <c r="D602" s="181" t="s">
        <v>459</v>
      </c>
      <c r="E602" s="181" t="s">
        <v>10</v>
      </c>
      <c r="F602" s="181"/>
      <c r="G602" s="71">
        <v>100</v>
      </c>
      <c r="H602" s="68">
        <v>0</v>
      </c>
    </row>
    <row r="603" spans="1:8" ht="14.5" x14ac:dyDescent="0.35">
      <c r="A603" s="1" t="s">
        <v>1187</v>
      </c>
      <c r="B603" s="2" t="s">
        <v>10</v>
      </c>
      <c r="C603" s="2" t="s">
        <v>1188</v>
      </c>
      <c r="D603" s="181" t="s">
        <v>1667</v>
      </c>
      <c r="E603" s="181" t="s">
        <v>10</v>
      </c>
      <c r="F603" s="181"/>
      <c r="G603" s="71">
        <v>500</v>
      </c>
      <c r="H603" s="68">
        <v>0</v>
      </c>
    </row>
    <row r="604" spans="1:8" ht="14.5" x14ac:dyDescent="0.35">
      <c r="A604" s="1" t="s">
        <v>1190</v>
      </c>
      <c r="B604" s="2" t="s">
        <v>10</v>
      </c>
      <c r="C604" s="2" t="s">
        <v>1191</v>
      </c>
      <c r="D604" s="181" t="s">
        <v>216</v>
      </c>
      <c r="E604" s="181" t="s">
        <v>10</v>
      </c>
      <c r="F604" s="181"/>
      <c r="G604" s="71">
        <v>30</v>
      </c>
      <c r="H604" s="68">
        <v>0</v>
      </c>
    </row>
    <row r="605" spans="1:8" ht="14.5" x14ac:dyDescent="0.35">
      <c r="A605" s="1" t="s">
        <v>1193</v>
      </c>
      <c r="B605" s="2" t="s">
        <v>10</v>
      </c>
      <c r="C605" s="2" t="s">
        <v>1194</v>
      </c>
      <c r="D605" s="181" t="s">
        <v>292</v>
      </c>
      <c r="E605" s="181" t="s">
        <v>10</v>
      </c>
      <c r="F605" s="181"/>
      <c r="G605" s="71">
        <v>50</v>
      </c>
      <c r="H605" s="68">
        <v>0</v>
      </c>
    </row>
    <row r="606" spans="1:8" ht="14.5" x14ac:dyDescent="0.35">
      <c r="A606" s="1" t="s">
        <v>1196</v>
      </c>
      <c r="B606" s="2" t="s">
        <v>10</v>
      </c>
      <c r="C606" s="2" t="s">
        <v>1197</v>
      </c>
      <c r="D606" s="181" t="s">
        <v>292</v>
      </c>
      <c r="E606" s="181" t="s">
        <v>10</v>
      </c>
      <c r="F606" s="181"/>
      <c r="G606" s="71">
        <v>50</v>
      </c>
      <c r="H606" s="68">
        <v>0</v>
      </c>
    </row>
    <row r="607" spans="1:8" ht="14.5" x14ac:dyDescent="0.35">
      <c r="A607" s="1" t="s">
        <v>1199</v>
      </c>
      <c r="B607" s="2" t="s">
        <v>10</v>
      </c>
      <c r="C607" s="2" t="s">
        <v>1197</v>
      </c>
      <c r="D607" s="181" t="s">
        <v>228</v>
      </c>
      <c r="E607" s="181" t="s">
        <v>10</v>
      </c>
      <c r="F607" s="181"/>
      <c r="G607" s="71">
        <v>32</v>
      </c>
      <c r="H607" s="68">
        <v>0</v>
      </c>
    </row>
    <row r="608" spans="1:8" ht="14.5" x14ac:dyDescent="0.35">
      <c r="A608" s="1" t="s">
        <v>1201</v>
      </c>
      <c r="B608" s="2" t="s">
        <v>10</v>
      </c>
      <c r="C608" s="2" t="s">
        <v>1202</v>
      </c>
      <c r="D608" s="181" t="s">
        <v>1668</v>
      </c>
      <c r="E608" s="181" t="s">
        <v>10</v>
      </c>
      <c r="F608" s="181"/>
      <c r="G608" s="71">
        <v>476</v>
      </c>
      <c r="H608" s="68">
        <v>0</v>
      </c>
    </row>
    <row r="609" spans="1:8" ht="14.5" x14ac:dyDescent="0.35">
      <c r="A609" s="1" t="s">
        <v>1204</v>
      </c>
      <c r="B609" s="2" t="s">
        <v>10</v>
      </c>
      <c r="C609" s="2" t="s">
        <v>1205</v>
      </c>
      <c r="D609" s="181" t="s">
        <v>110</v>
      </c>
      <c r="E609" s="181" t="s">
        <v>10</v>
      </c>
      <c r="F609" s="181"/>
      <c r="G609" s="71">
        <v>1</v>
      </c>
      <c r="H609" s="68">
        <v>0</v>
      </c>
    </row>
    <row r="610" spans="1:8" ht="14.5" x14ac:dyDescent="0.35">
      <c r="A610" s="1" t="s">
        <v>1207</v>
      </c>
      <c r="B610" s="2" t="s">
        <v>10</v>
      </c>
      <c r="C610" s="2" t="s">
        <v>1208</v>
      </c>
      <c r="D610" s="181" t="s">
        <v>110</v>
      </c>
      <c r="E610" s="181" t="s">
        <v>10</v>
      </c>
      <c r="F610" s="181"/>
      <c r="G610" s="71">
        <v>1</v>
      </c>
      <c r="H610" s="68">
        <v>0</v>
      </c>
    </row>
    <row r="611" spans="1:8" ht="14.5" x14ac:dyDescent="0.35">
      <c r="A611" s="1" t="s">
        <v>1210</v>
      </c>
      <c r="B611" s="2" t="s">
        <v>10</v>
      </c>
      <c r="C611" s="2" t="s">
        <v>1211</v>
      </c>
      <c r="D611" s="181" t="s">
        <v>110</v>
      </c>
      <c r="E611" s="181" t="s">
        <v>10</v>
      </c>
      <c r="F611" s="181"/>
      <c r="G611" s="71">
        <v>1</v>
      </c>
      <c r="H611" s="68">
        <v>0</v>
      </c>
    </row>
    <row r="612" spans="1:8" ht="14.5" x14ac:dyDescent="0.35">
      <c r="A612" s="1" t="s">
        <v>1213</v>
      </c>
      <c r="B612" s="2" t="s">
        <v>10</v>
      </c>
      <c r="C612" s="2" t="s">
        <v>1214</v>
      </c>
      <c r="D612" s="181" t="s">
        <v>110</v>
      </c>
      <c r="E612" s="181" t="s">
        <v>10</v>
      </c>
      <c r="F612" s="181"/>
      <c r="G612" s="71">
        <v>1</v>
      </c>
      <c r="H612" s="68">
        <v>0</v>
      </c>
    </row>
    <row r="613" spans="1:8" ht="14.5" x14ac:dyDescent="0.35">
      <c r="A613" s="1" t="s">
        <v>1216</v>
      </c>
      <c r="B613" s="2" t="s">
        <v>10</v>
      </c>
      <c r="C613" s="2" t="s">
        <v>1217</v>
      </c>
      <c r="D613" s="181" t="s">
        <v>110</v>
      </c>
      <c r="E613" s="181" t="s">
        <v>10</v>
      </c>
      <c r="F613" s="181"/>
      <c r="G613" s="71">
        <v>1</v>
      </c>
      <c r="H613" s="68">
        <v>0</v>
      </c>
    </row>
    <row r="614" spans="1:8" ht="14.5" x14ac:dyDescent="0.35">
      <c r="A614" s="1" t="s">
        <v>1219</v>
      </c>
      <c r="B614" s="2" t="s">
        <v>10</v>
      </c>
      <c r="C614" s="2" t="s">
        <v>1220</v>
      </c>
      <c r="D614" s="181" t="s">
        <v>110</v>
      </c>
      <c r="E614" s="181" t="s">
        <v>10</v>
      </c>
      <c r="F614" s="181"/>
      <c r="G614" s="71">
        <v>1</v>
      </c>
      <c r="H614" s="68">
        <v>0</v>
      </c>
    </row>
    <row r="615" spans="1:8" ht="14.5" x14ac:dyDescent="0.35">
      <c r="A615" s="1" t="s">
        <v>1222</v>
      </c>
      <c r="B615" s="2" t="s">
        <v>10</v>
      </c>
      <c r="C615" s="2" t="s">
        <v>1223</v>
      </c>
      <c r="D615" s="181" t="s">
        <v>110</v>
      </c>
      <c r="E615" s="181" t="s">
        <v>10</v>
      </c>
      <c r="F615" s="181"/>
      <c r="G615" s="71">
        <v>1</v>
      </c>
      <c r="H615" s="68">
        <v>0</v>
      </c>
    </row>
    <row r="616" spans="1:8" ht="14.5" x14ac:dyDescent="0.35">
      <c r="A616" s="1" t="s">
        <v>1225</v>
      </c>
      <c r="B616" s="2" t="s">
        <v>10</v>
      </c>
      <c r="C616" s="2" t="s">
        <v>1226</v>
      </c>
      <c r="D616" s="181" t="s">
        <v>110</v>
      </c>
      <c r="E616" s="181" t="s">
        <v>10</v>
      </c>
      <c r="F616" s="181"/>
      <c r="G616" s="71">
        <v>1</v>
      </c>
      <c r="H616" s="68">
        <v>0</v>
      </c>
    </row>
    <row r="617" spans="1:8" ht="14.5" x14ac:dyDescent="0.35">
      <c r="A617" s="1" t="s">
        <v>1228</v>
      </c>
      <c r="B617" s="2" t="s">
        <v>10</v>
      </c>
      <c r="C617" s="2" t="s">
        <v>1229</v>
      </c>
      <c r="D617" s="88" t="s">
        <v>1230</v>
      </c>
      <c r="E617" s="88"/>
      <c r="F617" s="2" t="s">
        <v>424</v>
      </c>
      <c r="G617" s="53">
        <v>0</v>
      </c>
      <c r="H617" s="68">
        <v>0</v>
      </c>
    </row>
    <row r="618" spans="1:8" ht="14.5" x14ac:dyDescent="0.35">
      <c r="A618" s="73" t="s">
        <v>10</v>
      </c>
      <c r="B618" s="51" t="s">
        <v>10</v>
      </c>
      <c r="C618" s="51" t="s">
        <v>1231</v>
      </c>
      <c r="D618" s="173" t="s">
        <v>1232</v>
      </c>
      <c r="E618" s="173"/>
      <c r="F618" s="51" t="s">
        <v>10</v>
      </c>
      <c r="G618" s="36" t="s">
        <v>10</v>
      </c>
      <c r="H618" s="74" t="s">
        <v>10</v>
      </c>
    </row>
    <row r="619" spans="1:8" ht="14.5" x14ac:dyDescent="0.35">
      <c r="A619" s="1" t="s">
        <v>1233</v>
      </c>
      <c r="B619" s="2" t="s">
        <v>10</v>
      </c>
      <c r="C619" s="2" t="s">
        <v>1234</v>
      </c>
      <c r="D619" s="181" t="s">
        <v>110</v>
      </c>
      <c r="E619" s="181" t="s">
        <v>10</v>
      </c>
      <c r="F619" s="181"/>
      <c r="G619" s="71">
        <v>1</v>
      </c>
      <c r="H619" s="68">
        <v>0</v>
      </c>
    </row>
    <row r="620" spans="1:8" ht="14.5" x14ac:dyDescent="0.35">
      <c r="A620" s="1" t="s">
        <v>1237</v>
      </c>
      <c r="B620" s="2" t="s">
        <v>10</v>
      </c>
      <c r="C620" s="2" t="s">
        <v>1238</v>
      </c>
      <c r="D620" s="181" t="s">
        <v>110</v>
      </c>
      <c r="E620" s="181" t="s">
        <v>10</v>
      </c>
      <c r="F620" s="181"/>
      <c r="G620" s="71">
        <v>1</v>
      </c>
      <c r="H620" s="68">
        <v>0</v>
      </c>
    </row>
    <row r="621" spans="1:8" ht="14.5" x14ac:dyDescent="0.35">
      <c r="A621" s="1" t="s">
        <v>1240</v>
      </c>
      <c r="B621" s="2" t="s">
        <v>10</v>
      </c>
      <c r="C621" s="2" t="s">
        <v>1241</v>
      </c>
      <c r="D621" s="181" t="s">
        <v>153</v>
      </c>
      <c r="E621" s="181" t="s">
        <v>10</v>
      </c>
      <c r="F621" s="181"/>
      <c r="G621" s="71">
        <v>12</v>
      </c>
      <c r="H621" s="68">
        <v>0</v>
      </c>
    </row>
    <row r="622" spans="1:8" ht="14.5" x14ac:dyDescent="0.35">
      <c r="A622" s="1" t="s">
        <v>1243</v>
      </c>
      <c r="B622" s="2" t="s">
        <v>10</v>
      </c>
      <c r="C622" s="2" t="s">
        <v>1244</v>
      </c>
      <c r="D622" s="181" t="s">
        <v>1669</v>
      </c>
      <c r="E622" s="181" t="s">
        <v>10</v>
      </c>
      <c r="F622" s="181"/>
      <c r="G622" s="71">
        <v>526</v>
      </c>
      <c r="H622" s="68">
        <v>0</v>
      </c>
    </row>
    <row r="623" spans="1:8" ht="14.5" x14ac:dyDescent="0.35">
      <c r="A623" s="1" t="s">
        <v>1246</v>
      </c>
      <c r="B623" s="2" t="s">
        <v>10</v>
      </c>
      <c r="C623" s="2" t="s">
        <v>1247</v>
      </c>
      <c r="D623" s="181" t="s">
        <v>110</v>
      </c>
      <c r="E623" s="181" t="s">
        <v>10</v>
      </c>
      <c r="F623" s="181"/>
      <c r="G623" s="71">
        <v>1</v>
      </c>
      <c r="H623" s="68">
        <v>0</v>
      </c>
    </row>
    <row r="624" spans="1:8" ht="14.5" x14ac:dyDescent="0.35">
      <c r="A624" s="1" t="s">
        <v>1249</v>
      </c>
      <c r="B624" s="2" t="s">
        <v>10</v>
      </c>
      <c r="C624" s="2" t="s">
        <v>1250</v>
      </c>
      <c r="D624" s="181" t="s">
        <v>408</v>
      </c>
      <c r="E624" s="181" t="s">
        <v>10</v>
      </c>
      <c r="F624" s="181"/>
      <c r="G624" s="71">
        <v>85</v>
      </c>
      <c r="H624" s="68">
        <v>0</v>
      </c>
    </row>
    <row r="625" spans="1:8" ht="14.5" x14ac:dyDescent="0.35">
      <c r="A625" s="1" t="s">
        <v>1252</v>
      </c>
      <c r="B625" s="2" t="s">
        <v>10</v>
      </c>
      <c r="C625" s="2" t="s">
        <v>1253</v>
      </c>
      <c r="D625" s="181" t="s">
        <v>153</v>
      </c>
      <c r="E625" s="181" t="s">
        <v>10</v>
      </c>
      <c r="F625" s="181"/>
      <c r="G625" s="71">
        <v>12</v>
      </c>
      <c r="H625" s="68">
        <v>0</v>
      </c>
    </row>
    <row r="626" spans="1:8" ht="14.5" x14ac:dyDescent="0.35">
      <c r="A626" s="1" t="s">
        <v>1255</v>
      </c>
      <c r="B626" s="2" t="s">
        <v>10</v>
      </c>
      <c r="C626" s="2" t="s">
        <v>1256</v>
      </c>
      <c r="D626" s="181" t="s">
        <v>216</v>
      </c>
      <c r="E626" s="181" t="s">
        <v>10</v>
      </c>
      <c r="F626" s="181"/>
      <c r="G626" s="71">
        <v>30</v>
      </c>
      <c r="H626" s="68">
        <v>0</v>
      </c>
    </row>
    <row r="627" spans="1:8" ht="14.5" x14ac:dyDescent="0.35">
      <c r="A627" s="1" t="s">
        <v>1258</v>
      </c>
      <c r="B627" s="2" t="s">
        <v>10</v>
      </c>
      <c r="C627" s="2" t="s">
        <v>1259</v>
      </c>
      <c r="D627" s="181" t="s">
        <v>131</v>
      </c>
      <c r="E627" s="181" t="s">
        <v>10</v>
      </c>
      <c r="F627" s="181"/>
      <c r="G627" s="71">
        <v>6</v>
      </c>
      <c r="H627" s="68">
        <v>0</v>
      </c>
    </row>
    <row r="628" spans="1:8" ht="14.5" x14ac:dyDescent="0.35">
      <c r="A628" s="1" t="s">
        <v>1261</v>
      </c>
      <c r="B628" s="2" t="s">
        <v>10</v>
      </c>
      <c r="C628" s="2" t="s">
        <v>1262</v>
      </c>
      <c r="D628" s="181" t="s">
        <v>166</v>
      </c>
      <c r="E628" s="181" t="s">
        <v>10</v>
      </c>
      <c r="F628" s="181"/>
      <c r="G628" s="71">
        <v>16</v>
      </c>
      <c r="H628" s="68">
        <v>0</v>
      </c>
    </row>
    <row r="629" spans="1:8" ht="14.5" x14ac:dyDescent="0.35">
      <c r="A629" s="1" t="s">
        <v>1264</v>
      </c>
      <c r="B629" s="2" t="s">
        <v>10</v>
      </c>
      <c r="C629" s="2" t="s">
        <v>1265</v>
      </c>
      <c r="D629" s="181" t="s">
        <v>110</v>
      </c>
      <c r="E629" s="181" t="s">
        <v>10</v>
      </c>
      <c r="F629" s="181"/>
      <c r="G629" s="71">
        <v>1</v>
      </c>
      <c r="H629" s="68">
        <v>0</v>
      </c>
    </row>
    <row r="630" spans="1:8" ht="14.5" x14ac:dyDescent="0.35">
      <c r="A630" s="1" t="s">
        <v>1267</v>
      </c>
      <c r="B630" s="2" t="s">
        <v>10</v>
      </c>
      <c r="C630" s="2" t="s">
        <v>1268</v>
      </c>
      <c r="D630" s="181" t="s">
        <v>110</v>
      </c>
      <c r="E630" s="181" t="s">
        <v>10</v>
      </c>
      <c r="F630" s="181"/>
      <c r="G630" s="71">
        <v>1</v>
      </c>
      <c r="H630" s="68">
        <v>0</v>
      </c>
    </row>
    <row r="631" spans="1:8" ht="14.5" x14ac:dyDescent="0.35">
      <c r="A631" s="1" t="s">
        <v>1270</v>
      </c>
      <c r="B631" s="2" t="s">
        <v>10</v>
      </c>
      <c r="C631" s="2" t="s">
        <v>1271</v>
      </c>
      <c r="D631" s="181" t="s">
        <v>228</v>
      </c>
      <c r="E631" s="181" t="s">
        <v>10</v>
      </c>
      <c r="F631" s="181"/>
      <c r="G631" s="71">
        <v>32</v>
      </c>
      <c r="H631" s="68">
        <v>0</v>
      </c>
    </row>
    <row r="632" spans="1:8" ht="14.5" x14ac:dyDescent="0.35">
      <c r="A632" s="1" t="s">
        <v>1273</v>
      </c>
      <c r="B632" s="2" t="s">
        <v>10</v>
      </c>
      <c r="C632" s="2" t="s">
        <v>1274</v>
      </c>
      <c r="D632" s="181" t="s">
        <v>110</v>
      </c>
      <c r="E632" s="181" t="s">
        <v>10</v>
      </c>
      <c r="F632" s="181"/>
      <c r="G632" s="71">
        <v>1</v>
      </c>
      <c r="H632" s="68">
        <v>0</v>
      </c>
    </row>
    <row r="633" spans="1:8" ht="14.5" x14ac:dyDescent="0.35">
      <c r="A633" s="1" t="s">
        <v>1276</v>
      </c>
      <c r="B633" s="2" t="s">
        <v>10</v>
      </c>
      <c r="C633" s="2" t="s">
        <v>1277</v>
      </c>
      <c r="D633" s="181" t="s">
        <v>110</v>
      </c>
      <c r="E633" s="181" t="s">
        <v>10</v>
      </c>
      <c r="F633" s="181"/>
      <c r="G633" s="71">
        <v>1</v>
      </c>
      <c r="H633" s="68">
        <v>0</v>
      </c>
    </row>
    <row r="634" spans="1:8" ht="14.5" x14ac:dyDescent="0.35">
      <c r="A634" s="1" t="s">
        <v>1279</v>
      </c>
      <c r="B634" s="2" t="s">
        <v>10</v>
      </c>
      <c r="C634" s="2" t="s">
        <v>1280</v>
      </c>
      <c r="D634" s="181" t="s">
        <v>110</v>
      </c>
      <c r="E634" s="181" t="s">
        <v>10</v>
      </c>
      <c r="F634" s="181"/>
      <c r="G634" s="71">
        <v>1</v>
      </c>
      <c r="H634" s="68">
        <v>0</v>
      </c>
    </row>
    <row r="635" spans="1:8" ht="14.5" x14ac:dyDescent="0.35">
      <c r="A635" s="1" t="s">
        <v>1282</v>
      </c>
      <c r="B635" s="2" t="s">
        <v>10</v>
      </c>
      <c r="C635" s="2" t="s">
        <v>1283</v>
      </c>
      <c r="D635" s="181" t="s">
        <v>166</v>
      </c>
      <c r="E635" s="181" t="s">
        <v>10</v>
      </c>
      <c r="F635" s="181"/>
      <c r="G635" s="71">
        <v>16</v>
      </c>
      <c r="H635" s="68">
        <v>0</v>
      </c>
    </row>
    <row r="636" spans="1:8" ht="14.5" x14ac:dyDescent="0.35">
      <c r="A636" s="1" t="s">
        <v>1285</v>
      </c>
      <c r="B636" s="2" t="s">
        <v>10</v>
      </c>
      <c r="C636" s="2" t="s">
        <v>1286</v>
      </c>
      <c r="D636" s="181" t="s">
        <v>110</v>
      </c>
      <c r="E636" s="181" t="s">
        <v>10</v>
      </c>
      <c r="F636" s="181"/>
      <c r="G636" s="71">
        <v>1</v>
      </c>
      <c r="H636" s="68">
        <v>0</v>
      </c>
    </row>
    <row r="637" spans="1:8" ht="14.5" x14ac:dyDescent="0.35">
      <c r="A637" s="1" t="s">
        <v>1288</v>
      </c>
      <c r="B637" s="2" t="s">
        <v>10</v>
      </c>
      <c r="C637" s="2" t="s">
        <v>1289</v>
      </c>
      <c r="D637" s="181" t="s">
        <v>110</v>
      </c>
      <c r="E637" s="181" t="s">
        <v>10</v>
      </c>
      <c r="F637" s="181"/>
      <c r="G637" s="71">
        <v>1</v>
      </c>
      <c r="H637" s="68">
        <v>0</v>
      </c>
    </row>
    <row r="638" spans="1:8" ht="14.5" x14ac:dyDescent="0.35">
      <c r="A638" s="1" t="s">
        <v>1291</v>
      </c>
      <c r="B638" s="2" t="s">
        <v>10</v>
      </c>
      <c r="C638" s="2" t="s">
        <v>1292</v>
      </c>
      <c r="D638" s="181" t="s">
        <v>110</v>
      </c>
      <c r="E638" s="181" t="s">
        <v>10</v>
      </c>
      <c r="F638" s="181"/>
      <c r="G638" s="71">
        <v>1</v>
      </c>
      <c r="H638" s="68">
        <v>0</v>
      </c>
    </row>
    <row r="639" spans="1:8" ht="14.5" x14ac:dyDescent="0.35">
      <c r="A639" s="73" t="s">
        <v>10</v>
      </c>
      <c r="B639" s="51" t="s">
        <v>10</v>
      </c>
      <c r="C639" s="51" t="s">
        <v>1294</v>
      </c>
      <c r="D639" s="173" t="s">
        <v>1295</v>
      </c>
      <c r="E639" s="173"/>
      <c r="F639" s="51" t="s">
        <v>10</v>
      </c>
      <c r="G639" s="36" t="s">
        <v>10</v>
      </c>
      <c r="H639" s="74" t="s">
        <v>10</v>
      </c>
    </row>
    <row r="640" spans="1:8" ht="14.5" x14ac:dyDescent="0.35">
      <c r="A640" s="1" t="s">
        <v>1296</v>
      </c>
      <c r="B640" s="2" t="s">
        <v>10</v>
      </c>
      <c r="C640" s="2" t="s">
        <v>1297</v>
      </c>
      <c r="D640" s="181" t="s">
        <v>110</v>
      </c>
      <c r="E640" s="181" t="s">
        <v>10</v>
      </c>
      <c r="F640" s="181"/>
      <c r="G640" s="71">
        <v>1</v>
      </c>
      <c r="H640" s="68">
        <v>0</v>
      </c>
    </row>
    <row r="641" spans="1:8" ht="14.5" x14ac:dyDescent="0.35">
      <c r="A641" s="1" t="s">
        <v>1300</v>
      </c>
      <c r="B641" s="2" t="s">
        <v>10</v>
      </c>
      <c r="C641" s="2" t="s">
        <v>1301</v>
      </c>
      <c r="D641" s="88" t="s">
        <v>1302</v>
      </c>
      <c r="E641" s="88"/>
      <c r="F641" s="2" t="s">
        <v>121</v>
      </c>
      <c r="G641" s="53">
        <v>1</v>
      </c>
      <c r="H641" s="68">
        <v>0</v>
      </c>
    </row>
    <row r="642" spans="1:8" ht="14.5" x14ac:dyDescent="0.35">
      <c r="A642" s="1" t="s">
        <v>1303</v>
      </c>
      <c r="B642" s="2" t="s">
        <v>10</v>
      </c>
      <c r="C642" s="2" t="s">
        <v>1304</v>
      </c>
      <c r="D642" s="181" t="s">
        <v>110</v>
      </c>
      <c r="E642" s="181" t="s">
        <v>10</v>
      </c>
      <c r="F642" s="181"/>
      <c r="G642" s="71">
        <v>1</v>
      </c>
      <c r="H642" s="68">
        <v>0</v>
      </c>
    </row>
    <row r="643" spans="1:8" ht="14.5" x14ac:dyDescent="0.35">
      <c r="A643" s="1" t="s">
        <v>1306</v>
      </c>
      <c r="B643" s="2" t="s">
        <v>10</v>
      </c>
      <c r="C643" s="2" t="s">
        <v>1307</v>
      </c>
      <c r="D643" s="181" t="s">
        <v>110</v>
      </c>
      <c r="E643" s="181" t="s">
        <v>10</v>
      </c>
      <c r="F643" s="181"/>
      <c r="G643" s="71">
        <v>1</v>
      </c>
      <c r="H643" s="68">
        <v>0</v>
      </c>
    </row>
    <row r="644" spans="1:8" ht="14.5" x14ac:dyDescent="0.35">
      <c r="A644" s="1" t="s">
        <v>1309</v>
      </c>
      <c r="B644" s="2" t="s">
        <v>10</v>
      </c>
      <c r="C644" s="2" t="s">
        <v>1297</v>
      </c>
      <c r="D644" s="181" t="s">
        <v>110</v>
      </c>
      <c r="E644" s="181" t="s">
        <v>10</v>
      </c>
      <c r="F644" s="181"/>
      <c r="G644" s="71">
        <v>1</v>
      </c>
      <c r="H644" s="68">
        <v>0</v>
      </c>
    </row>
    <row r="645" spans="1:8" ht="14.5" x14ac:dyDescent="0.35">
      <c r="A645" s="1" t="s">
        <v>1311</v>
      </c>
      <c r="B645" s="2" t="s">
        <v>10</v>
      </c>
      <c r="C645" s="2" t="s">
        <v>1023</v>
      </c>
      <c r="D645" s="88" t="s">
        <v>1312</v>
      </c>
      <c r="E645" s="88"/>
      <c r="F645" s="2" t="s">
        <v>143</v>
      </c>
      <c r="G645" s="53">
        <v>0.59</v>
      </c>
      <c r="H645" s="68">
        <v>0</v>
      </c>
    </row>
    <row r="646" spans="1:8" ht="14.5" x14ac:dyDescent="0.35">
      <c r="A646" s="69"/>
      <c r="D646" s="70" t="s">
        <v>1670</v>
      </c>
      <c r="E646" s="180" t="s">
        <v>1671</v>
      </c>
      <c r="F646" s="180"/>
      <c r="G646" s="71">
        <v>0.59</v>
      </c>
      <c r="H646" s="49"/>
    </row>
    <row r="647" spans="1:8" ht="14.5" x14ac:dyDescent="0.35">
      <c r="A647" s="1" t="s">
        <v>10</v>
      </c>
      <c r="B647" s="2" t="s">
        <v>10</v>
      </c>
      <c r="C647" s="2" t="s">
        <v>10</v>
      </c>
      <c r="D647" s="70" t="s">
        <v>10</v>
      </c>
      <c r="E647" s="180" t="s">
        <v>1672</v>
      </c>
      <c r="F647" s="180"/>
      <c r="G647" s="71">
        <v>0</v>
      </c>
      <c r="H647" s="72" t="s">
        <v>10</v>
      </c>
    </row>
    <row r="648" spans="1:8" ht="14.5" x14ac:dyDescent="0.35">
      <c r="A648" s="1" t="s">
        <v>1313</v>
      </c>
      <c r="B648" s="2" t="s">
        <v>10</v>
      </c>
      <c r="C648" s="2" t="s">
        <v>159</v>
      </c>
      <c r="D648" s="88" t="s">
        <v>1314</v>
      </c>
      <c r="E648" s="88"/>
      <c r="F648" s="2" t="s">
        <v>143</v>
      </c>
      <c r="G648" s="53">
        <v>1.74</v>
      </c>
      <c r="H648" s="68">
        <v>0</v>
      </c>
    </row>
    <row r="649" spans="1:8" ht="14.5" x14ac:dyDescent="0.35">
      <c r="A649" s="69"/>
      <c r="D649" s="70" t="s">
        <v>1673</v>
      </c>
      <c r="E649" s="180" t="s">
        <v>10</v>
      </c>
      <c r="F649" s="180"/>
      <c r="G649" s="71">
        <v>0.83</v>
      </c>
      <c r="H649" s="49"/>
    </row>
    <row r="650" spans="1:8" ht="14.5" x14ac:dyDescent="0.35">
      <c r="A650" s="1" t="s">
        <v>10</v>
      </c>
      <c r="B650" s="2" t="s">
        <v>10</v>
      </c>
      <c r="C650" s="2" t="s">
        <v>10</v>
      </c>
      <c r="D650" s="70" t="s">
        <v>1674</v>
      </c>
      <c r="E650" s="180" t="s">
        <v>10</v>
      </c>
      <c r="F650" s="180"/>
      <c r="G650" s="71">
        <v>0.91</v>
      </c>
      <c r="H650" s="72" t="s">
        <v>10</v>
      </c>
    </row>
    <row r="651" spans="1:8" ht="14.5" x14ac:dyDescent="0.35">
      <c r="A651" s="1" t="s">
        <v>1315</v>
      </c>
      <c r="B651" s="2" t="s">
        <v>10</v>
      </c>
      <c r="C651" s="2" t="s">
        <v>1316</v>
      </c>
      <c r="D651" s="181" t="s">
        <v>1675</v>
      </c>
      <c r="E651" s="181" t="s">
        <v>10</v>
      </c>
      <c r="F651" s="181"/>
      <c r="G651" s="71">
        <v>0.36</v>
      </c>
      <c r="H651" s="68">
        <v>0</v>
      </c>
    </row>
    <row r="652" spans="1:8" ht="14.5" x14ac:dyDescent="0.35">
      <c r="A652" s="1" t="s">
        <v>1318</v>
      </c>
      <c r="B652" s="2" t="s">
        <v>10</v>
      </c>
      <c r="C652" s="2" t="s">
        <v>1319</v>
      </c>
      <c r="D652" s="88" t="s">
        <v>1320</v>
      </c>
      <c r="E652" s="88"/>
      <c r="F652" s="2" t="s">
        <v>143</v>
      </c>
      <c r="G652" s="53">
        <v>0.56000000000000005</v>
      </c>
      <c r="H652" s="68">
        <v>0</v>
      </c>
    </row>
    <row r="653" spans="1:8" ht="14.5" x14ac:dyDescent="0.35">
      <c r="A653" s="69"/>
      <c r="D653" s="70" t="s">
        <v>1676</v>
      </c>
      <c r="E653" s="180" t="s">
        <v>10</v>
      </c>
      <c r="F653" s="180"/>
      <c r="G653" s="71">
        <v>0.22</v>
      </c>
      <c r="H653" s="49"/>
    </row>
    <row r="654" spans="1:8" ht="14.5" x14ac:dyDescent="0.35">
      <c r="A654" s="1" t="s">
        <v>10</v>
      </c>
      <c r="B654" s="2" t="s">
        <v>10</v>
      </c>
      <c r="C654" s="2" t="s">
        <v>10</v>
      </c>
      <c r="D654" s="70" t="s">
        <v>1677</v>
      </c>
      <c r="E654" s="180" t="s">
        <v>10</v>
      </c>
      <c r="F654" s="180"/>
      <c r="G654" s="71">
        <v>0.34</v>
      </c>
      <c r="H654" s="72" t="s">
        <v>10</v>
      </c>
    </row>
    <row r="655" spans="1:8" ht="14.5" x14ac:dyDescent="0.35">
      <c r="A655" s="1" t="s">
        <v>1321</v>
      </c>
      <c r="B655" s="2" t="s">
        <v>10</v>
      </c>
      <c r="C655" s="2" t="s">
        <v>1322</v>
      </c>
      <c r="D655" s="181" t="s">
        <v>1676</v>
      </c>
      <c r="E655" s="181" t="s">
        <v>10</v>
      </c>
      <c r="F655" s="181"/>
      <c r="G655" s="71">
        <v>0.22</v>
      </c>
      <c r="H655" s="68">
        <v>0</v>
      </c>
    </row>
    <row r="656" spans="1:8" ht="14.5" x14ac:dyDescent="0.35">
      <c r="A656" s="1" t="s">
        <v>1324</v>
      </c>
      <c r="B656" s="2" t="s">
        <v>10</v>
      </c>
      <c r="C656" s="2" t="s">
        <v>1325</v>
      </c>
      <c r="D656" s="181" t="s">
        <v>1678</v>
      </c>
      <c r="E656" s="181" t="s">
        <v>1679</v>
      </c>
      <c r="F656" s="181"/>
      <c r="G656" s="71">
        <v>0.01</v>
      </c>
      <c r="H656" s="68">
        <v>0</v>
      </c>
    </row>
    <row r="657" spans="1:8" ht="14.5" x14ac:dyDescent="0.35">
      <c r="A657" s="73" t="s">
        <v>10</v>
      </c>
      <c r="B657" s="51" t="s">
        <v>10</v>
      </c>
      <c r="C657" s="51" t="s">
        <v>1327</v>
      </c>
      <c r="D657" s="173" t="s">
        <v>1328</v>
      </c>
      <c r="E657" s="173"/>
      <c r="F657" s="51" t="s">
        <v>10</v>
      </c>
      <c r="G657" s="36" t="s">
        <v>10</v>
      </c>
      <c r="H657" s="74" t="s">
        <v>10</v>
      </c>
    </row>
    <row r="658" spans="1:8" ht="14.5" x14ac:dyDescent="0.35">
      <c r="A658" s="1" t="s">
        <v>1329</v>
      </c>
      <c r="B658" s="2" t="s">
        <v>10</v>
      </c>
      <c r="C658" s="2" t="s">
        <v>1330</v>
      </c>
      <c r="D658" s="181" t="s">
        <v>110</v>
      </c>
      <c r="E658" s="181" t="s">
        <v>10</v>
      </c>
      <c r="F658" s="181"/>
      <c r="G658" s="71">
        <v>1</v>
      </c>
      <c r="H658" s="68">
        <v>0</v>
      </c>
    </row>
    <row r="659" spans="1:8" ht="14.5" x14ac:dyDescent="0.35">
      <c r="A659" s="1" t="s">
        <v>1333</v>
      </c>
      <c r="B659" s="2" t="s">
        <v>10</v>
      </c>
      <c r="C659" s="2" t="s">
        <v>1334</v>
      </c>
      <c r="D659" s="181" t="s">
        <v>148</v>
      </c>
      <c r="E659" s="181" t="s">
        <v>10</v>
      </c>
      <c r="F659" s="181"/>
      <c r="G659" s="71">
        <v>10</v>
      </c>
      <c r="H659" s="68">
        <v>0</v>
      </c>
    </row>
    <row r="660" spans="1:8" ht="14.5" x14ac:dyDescent="0.35">
      <c r="A660" s="1" t="s">
        <v>1336</v>
      </c>
      <c r="B660" s="2" t="s">
        <v>10</v>
      </c>
      <c r="C660" s="2" t="s">
        <v>1337</v>
      </c>
      <c r="D660" s="181" t="s">
        <v>110</v>
      </c>
      <c r="E660" s="181" t="s">
        <v>10</v>
      </c>
      <c r="F660" s="181"/>
      <c r="G660" s="71">
        <v>1</v>
      </c>
      <c r="H660" s="68">
        <v>0</v>
      </c>
    </row>
    <row r="661" spans="1:8" ht="14.5" x14ac:dyDescent="0.35">
      <c r="A661" s="1" t="s">
        <v>1339</v>
      </c>
      <c r="B661" s="2" t="s">
        <v>10</v>
      </c>
      <c r="C661" s="2" t="s">
        <v>1340</v>
      </c>
      <c r="D661" s="181" t="s">
        <v>110</v>
      </c>
      <c r="E661" s="181" t="s">
        <v>10</v>
      </c>
      <c r="F661" s="181"/>
      <c r="G661" s="71">
        <v>1</v>
      </c>
      <c r="H661" s="68">
        <v>0</v>
      </c>
    </row>
    <row r="662" spans="1:8" ht="14.5" x14ac:dyDescent="0.35">
      <c r="A662" s="1" t="s">
        <v>1342</v>
      </c>
      <c r="B662" s="2" t="s">
        <v>10</v>
      </c>
      <c r="C662" s="2" t="s">
        <v>1343</v>
      </c>
      <c r="D662" s="181" t="s">
        <v>110</v>
      </c>
      <c r="E662" s="181" t="s">
        <v>10</v>
      </c>
      <c r="F662" s="181"/>
      <c r="G662" s="71">
        <v>1</v>
      </c>
      <c r="H662" s="68">
        <v>0</v>
      </c>
    </row>
    <row r="663" spans="1:8" ht="14.5" x14ac:dyDescent="0.35">
      <c r="A663" s="1" t="s">
        <v>1345</v>
      </c>
      <c r="B663" s="2" t="s">
        <v>10</v>
      </c>
      <c r="C663" s="2" t="s">
        <v>1346</v>
      </c>
      <c r="D663" s="181" t="s">
        <v>122</v>
      </c>
      <c r="E663" s="181" t="s">
        <v>10</v>
      </c>
      <c r="F663" s="181"/>
      <c r="G663" s="71">
        <v>3</v>
      </c>
      <c r="H663" s="68">
        <v>0</v>
      </c>
    </row>
    <row r="664" spans="1:8" ht="14.5" x14ac:dyDescent="0.35">
      <c r="A664" s="1" t="s">
        <v>1348</v>
      </c>
      <c r="B664" s="2" t="s">
        <v>10</v>
      </c>
      <c r="C664" s="2" t="s">
        <v>1349</v>
      </c>
      <c r="D664" s="181" t="s">
        <v>110</v>
      </c>
      <c r="E664" s="181" t="s">
        <v>10</v>
      </c>
      <c r="F664" s="181"/>
      <c r="G664" s="71">
        <v>1</v>
      </c>
      <c r="H664" s="68">
        <v>0</v>
      </c>
    </row>
    <row r="665" spans="1:8" ht="14.5" x14ac:dyDescent="0.35">
      <c r="A665" s="1" t="s">
        <v>1351</v>
      </c>
      <c r="B665" s="2" t="s">
        <v>10</v>
      </c>
      <c r="C665" s="2" t="s">
        <v>1352</v>
      </c>
      <c r="D665" s="181" t="s">
        <v>110</v>
      </c>
      <c r="E665" s="181" t="s">
        <v>10</v>
      </c>
      <c r="F665" s="181"/>
      <c r="G665" s="71">
        <v>1</v>
      </c>
      <c r="H665" s="68">
        <v>0</v>
      </c>
    </row>
    <row r="666" spans="1:8" ht="14.5" x14ac:dyDescent="0.35">
      <c r="A666" s="1" t="s">
        <v>1354</v>
      </c>
      <c r="B666" s="2" t="s">
        <v>10</v>
      </c>
      <c r="C666" s="2" t="s">
        <v>1355</v>
      </c>
      <c r="D666" s="181" t="s">
        <v>110</v>
      </c>
      <c r="E666" s="181" t="s">
        <v>10</v>
      </c>
      <c r="F666" s="181"/>
      <c r="G666" s="71">
        <v>1</v>
      </c>
      <c r="H666" s="68">
        <v>0</v>
      </c>
    </row>
    <row r="667" spans="1:8" ht="14.5" x14ac:dyDescent="0.35">
      <c r="A667" s="1" t="s">
        <v>1357</v>
      </c>
      <c r="B667" s="2" t="s">
        <v>10</v>
      </c>
      <c r="C667" s="2" t="s">
        <v>1358</v>
      </c>
      <c r="D667" s="181" t="s">
        <v>110</v>
      </c>
      <c r="E667" s="181" t="s">
        <v>10</v>
      </c>
      <c r="F667" s="181"/>
      <c r="G667" s="71">
        <v>1</v>
      </c>
      <c r="H667" s="68">
        <v>0</v>
      </c>
    </row>
    <row r="668" spans="1:8" ht="14.5" x14ac:dyDescent="0.35">
      <c r="A668" s="1" t="s">
        <v>1360</v>
      </c>
      <c r="B668" s="2" t="s">
        <v>10</v>
      </c>
      <c r="C668" s="2" t="s">
        <v>1361</v>
      </c>
      <c r="D668" s="181" t="s">
        <v>110</v>
      </c>
      <c r="E668" s="181" t="s">
        <v>10</v>
      </c>
      <c r="F668" s="181"/>
      <c r="G668" s="71">
        <v>1</v>
      </c>
      <c r="H668" s="68">
        <v>0</v>
      </c>
    </row>
    <row r="669" spans="1:8" ht="14.5" x14ac:dyDescent="0.35">
      <c r="A669" s="73" t="s">
        <v>10</v>
      </c>
      <c r="B669" s="51" t="s">
        <v>10</v>
      </c>
      <c r="C669" s="51" t="s">
        <v>1363</v>
      </c>
      <c r="D669" s="173" t="s">
        <v>1364</v>
      </c>
      <c r="E669" s="173"/>
      <c r="F669" s="51" t="s">
        <v>10</v>
      </c>
      <c r="G669" s="36" t="s">
        <v>10</v>
      </c>
      <c r="H669" s="74" t="s">
        <v>10</v>
      </c>
    </row>
    <row r="670" spans="1:8" ht="14.5" x14ac:dyDescent="0.35">
      <c r="A670" s="1" t="s">
        <v>1365</v>
      </c>
      <c r="B670" s="2" t="s">
        <v>10</v>
      </c>
      <c r="C670" s="2" t="s">
        <v>1366</v>
      </c>
      <c r="D670" s="181" t="s">
        <v>775</v>
      </c>
      <c r="E670" s="181" t="s">
        <v>10</v>
      </c>
      <c r="F670" s="181"/>
      <c r="G670" s="71">
        <v>200</v>
      </c>
      <c r="H670" s="68">
        <v>0</v>
      </c>
    </row>
    <row r="671" spans="1:8" ht="14.5" x14ac:dyDescent="0.35">
      <c r="A671" s="1" t="s">
        <v>1369</v>
      </c>
      <c r="B671" s="2" t="s">
        <v>10</v>
      </c>
      <c r="C671" s="2" t="s">
        <v>1370</v>
      </c>
      <c r="D671" s="181" t="s">
        <v>231</v>
      </c>
      <c r="E671" s="181" t="s">
        <v>10</v>
      </c>
      <c r="F671" s="181"/>
      <c r="G671" s="71">
        <v>33</v>
      </c>
      <c r="H671" s="68">
        <v>0</v>
      </c>
    </row>
    <row r="672" spans="1:8" ht="14.5" x14ac:dyDescent="0.35">
      <c r="A672" s="1" t="s">
        <v>1372</v>
      </c>
      <c r="B672" s="2" t="s">
        <v>10</v>
      </c>
      <c r="C672" s="2" t="s">
        <v>1373</v>
      </c>
      <c r="D672" s="181" t="s">
        <v>231</v>
      </c>
      <c r="E672" s="181" t="s">
        <v>10</v>
      </c>
      <c r="F672" s="181"/>
      <c r="G672" s="71">
        <v>33</v>
      </c>
      <c r="H672" s="68">
        <v>0</v>
      </c>
    </row>
    <row r="673" spans="1:8" ht="14.5" x14ac:dyDescent="0.35">
      <c r="A673" s="1" t="s">
        <v>1375</v>
      </c>
      <c r="B673" s="2" t="s">
        <v>10</v>
      </c>
      <c r="C673" s="2" t="s">
        <v>1376</v>
      </c>
      <c r="D673" s="181" t="s">
        <v>174</v>
      </c>
      <c r="E673" s="181" t="s">
        <v>10</v>
      </c>
      <c r="F673" s="181"/>
      <c r="G673" s="71">
        <v>18</v>
      </c>
      <c r="H673" s="68">
        <v>0</v>
      </c>
    </row>
    <row r="674" spans="1:8" ht="14.5" x14ac:dyDescent="0.35">
      <c r="A674" s="1" t="s">
        <v>1378</v>
      </c>
      <c r="B674" s="2" t="s">
        <v>10</v>
      </c>
      <c r="C674" s="2" t="s">
        <v>1379</v>
      </c>
      <c r="D674" s="181" t="s">
        <v>335</v>
      </c>
      <c r="E674" s="181" t="s">
        <v>10</v>
      </c>
      <c r="F674" s="181"/>
      <c r="G674" s="71">
        <v>60</v>
      </c>
      <c r="H674" s="68">
        <v>0</v>
      </c>
    </row>
    <row r="675" spans="1:8" ht="14.5" x14ac:dyDescent="0.35">
      <c r="A675" s="1" t="s">
        <v>1381</v>
      </c>
      <c r="B675" s="2" t="s">
        <v>10</v>
      </c>
      <c r="C675" s="2" t="s">
        <v>1382</v>
      </c>
      <c r="D675" s="181" t="s">
        <v>378</v>
      </c>
      <c r="E675" s="181" t="s">
        <v>10</v>
      </c>
      <c r="F675" s="181"/>
      <c r="G675" s="71">
        <v>75</v>
      </c>
      <c r="H675" s="68">
        <v>0</v>
      </c>
    </row>
    <row r="676" spans="1:8" ht="14.5" x14ac:dyDescent="0.35">
      <c r="A676" s="1" t="s">
        <v>1384</v>
      </c>
      <c r="B676" s="2" t="s">
        <v>10</v>
      </c>
      <c r="C676" s="2" t="s">
        <v>1385</v>
      </c>
      <c r="D676" s="181" t="s">
        <v>231</v>
      </c>
      <c r="E676" s="181" t="s">
        <v>10</v>
      </c>
      <c r="F676" s="181"/>
      <c r="G676" s="71">
        <v>33</v>
      </c>
      <c r="H676" s="68">
        <v>0</v>
      </c>
    </row>
    <row r="677" spans="1:8" ht="14.5" x14ac:dyDescent="0.35">
      <c r="A677" s="1" t="s">
        <v>1387</v>
      </c>
      <c r="B677" s="2" t="s">
        <v>10</v>
      </c>
      <c r="C677" s="2" t="s">
        <v>1388</v>
      </c>
      <c r="D677" s="181" t="s">
        <v>110</v>
      </c>
      <c r="E677" s="181" t="s">
        <v>10</v>
      </c>
      <c r="F677" s="181"/>
      <c r="G677" s="71">
        <v>1</v>
      </c>
      <c r="H677" s="68">
        <v>0</v>
      </c>
    </row>
    <row r="678" spans="1:8" ht="14.5" x14ac:dyDescent="0.35">
      <c r="A678" s="1" t="s">
        <v>1390</v>
      </c>
      <c r="B678" s="2" t="s">
        <v>10</v>
      </c>
      <c r="C678" s="2" t="s">
        <v>1391</v>
      </c>
      <c r="D678" s="181" t="s">
        <v>110</v>
      </c>
      <c r="E678" s="181" t="s">
        <v>10</v>
      </c>
      <c r="F678" s="181"/>
      <c r="G678" s="71">
        <v>1</v>
      </c>
      <c r="H678" s="68">
        <v>0</v>
      </c>
    </row>
    <row r="679" spans="1:8" ht="14.5" x14ac:dyDescent="0.35">
      <c r="A679" s="1" t="s">
        <v>1393</v>
      </c>
      <c r="B679" s="2" t="s">
        <v>10</v>
      </c>
      <c r="C679" s="2" t="s">
        <v>1394</v>
      </c>
      <c r="D679" s="181" t="s">
        <v>110</v>
      </c>
      <c r="E679" s="181" t="s">
        <v>10</v>
      </c>
      <c r="F679" s="181"/>
      <c r="G679" s="71">
        <v>1</v>
      </c>
      <c r="H679" s="68">
        <v>0</v>
      </c>
    </row>
    <row r="680" spans="1:8" ht="14.5" x14ac:dyDescent="0.35">
      <c r="A680" s="1" t="s">
        <v>1396</v>
      </c>
      <c r="B680" s="2" t="s">
        <v>10</v>
      </c>
      <c r="C680" s="2" t="s">
        <v>1397</v>
      </c>
      <c r="D680" s="181" t="s">
        <v>335</v>
      </c>
      <c r="E680" s="181" t="s">
        <v>10</v>
      </c>
      <c r="F680" s="181"/>
      <c r="G680" s="71">
        <v>60</v>
      </c>
      <c r="H680" s="68">
        <v>0</v>
      </c>
    </row>
    <row r="681" spans="1:8" ht="14.5" x14ac:dyDescent="0.35">
      <c r="A681" s="1" t="s">
        <v>1399</v>
      </c>
      <c r="B681" s="2" t="s">
        <v>10</v>
      </c>
      <c r="C681" s="2" t="s">
        <v>1400</v>
      </c>
      <c r="D681" s="181" t="s">
        <v>110</v>
      </c>
      <c r="E681" s="181" t="s">
        <v>10</v>
      </c>
      <c r="F681" s="181"/>
      <c r="G681" s="71">
        <v>1</v>
      </c>
      <c r="H681" s="68">
        <v>0</v>
      </c>
    </row>
    <row r="682" spans="1:8" ht="14.5" x14ac:dyDescent="0.35">
      <c r="A682" s="73" t="s">
        <v>10</v>
      </c>
      <c r="B682" s="51" t="s">
        <v>10</v>
      </c>
      <c r="C682" s="51" t="s">
        <v>1402</v>
      </c>
      <c r="D682" s="173" t="s">
        <v>1403</v>
      </c>
      <c r="E682" s="173"/>
      <c r="F682" s="51" t="s">
        <v>10</v>
      </c>
      <c r="G682" s="36" t="s">
        <v>10</v>
      </c>
      <c r="H682" s="74" t="s">
        <v>10</v>
      </c>
    </row>
    <row r="683" spans="1:8" ht="14.5" x14ac:dyDescent="0.35">
      <c r="A683" s="1" t="s">
        <v>1404</v>
      </c>
      <c r="B683" s="2" t="s">
        <v>10</v>
      </c>
      <c r="C683" s="2" t="s">
        <v>1405</v>
      </c>
      <c r="D683" s="181" t="s">
        <v>786</v>
      </c>
      <c r="E683" s="181" t="s">
        <v>10</v>
      </c>
      <c r="F683" s="181"/>
      <c r="G683" s="71">
        <v>203</v>
      </c>
      <c r="H683" s="68">
        <v>0</v>
      </c>
    </row>
    <row r="684" spans="1:8" ht="14.5" x14ac:dyDescent="0.35">
      <c r="A684" s="1" t="s">
        <v>1408</v>
      </c>
      <c r="B684" s="2" t="s">
        <v>10</v>
      </c>
      <c r="C684" s="2" t="s">
        <v>1409</v>
      </c>
      <c r="D684" s="181" t="s">
        <v>1680</v>
      </c>
      <c r="E684" s="181" t="s">
        <v>1681</v>
      </c>
      <c r="F684" s="181"/>
      <c r="G684" s="71">
        <v>1624</v>
      </c>
      <c r="H684" s="68">
        <v>0</v>
      </c>
    </row>
    <row r="685" spans="1:8" ht="14.5" x14ac:dyDescent="0.35">
      <c r="A685" s="1" t="s">
        <v>1411</v>
      </c>
      <c r="B685" s="2" t="s">
        <v>10</v>
      </c>
      <c r="C685" s="2" t="s">
        <v>1412</v>
      </c>
      <c r="D685" s="181" t="s">
        <v>786</v>
      </c>
      <c r="E685" s="181" t="s">
        <v>10</v>
      </c>
      <c r="F685" s="181"/>
      <c r="G685" s="71">
        <v>203</v>
      </c>
      <c r="H685" s="68">
        <v>0</v>
      </c>
    </row>
    <row r="686" spans="1:8" ht="14.5" x14ac:dyDescent="0.35">
      <c r="A686" s="1" t="s">
        <v>1414</v>
      </c>
      <c r="B686" s="2" t="s">
        <v>10</v>
      </c>
      <c r="C686" s="2" t="s">
        <v>1415</v>
      </c>
      <c r="D686" s="181" t="s">
        <v>786</v>
      </c>
      <c r="E686" s="181" t="s">
        <v>10</v>
      </c>
      <c r="F686" s="181"/>
      <c r="G686" s="71">
        <v>203</v>
      </c>
      <c r="H686" s="68">
        <v>0</v>
      </c>
    </row>
    <row r="687" spans="1:8" ht="14.5" x14ac:dyDescent="0.35">
      <c r="A687" s="1" t="s">
        <v>1417</v>
      </c>
      <c r="B687" s="2" t="s">
        <v>10</v>
      </c>
      <c r="C687" s="2" t="s">
        <v>1418</v>
      </c>
      <c r="D687" s="181" t="s">
        <v>1682</v>
      </c>
      <c r="E687" s="181" t="s">
        <v>1683</v>
      </c>
      <c r="F687" s="181"/>
      <c r="G687" s="71">
        <v>4060</v>
      </c>
      <c r="H687" s="68">
        <v>0</v>
      </c>
    </row>
    <row r="688" spans="1:8" ht="14.5" x14ac:dyDescent="0.35">
      <c r="A688" s="1" t="s">
        <v>1420</v>
      </c>
      <c r="B688" s="2" t="s">
        <v>10</v>
      </c>
      <c r="C688" s="2" t="s">
        <v>1421</v>
      </c>
      <c r="D688" s="181" t="s">
        <v>1684</v>
      </c>
      <c r="E688" s="181" t="s">
        <v>10</v>
      </c>
      <c r="F688" s="181"/>
      <c r="G688" s="71">
        <v>84.04</v>
      </c>
      <c r="H688" s="68">
        <v>0</v>
      </c>
    </row>
    <row r="689" spans="1:8" ht="14.5" x14ac:dyDescent="0.35">
      <c r="A689" s="1" t="s">
        <v>1423</v>
      </c>
      <c r="B689" s="2" t="s">
        <v>10</v>
      </c>
      <c r="C689" s="2" t="s">
        <v>1424</v>
      </c>
      <c r="D689" s="181" t="s">
        <v>498</v>
      </c>
      <c r="E689" s="181" t="s">
        <v>10</v>
      </c>
      <c r="F689" s="181"/>
      <c r="G689" s="71">
        <v>113</v>
      </c>
      <c r="H689" s="68">
        <v>0</v>
      </c>
    </row>
    <row r="690" spans="1:8" ht="14.5" x14ac:dyDescent="0.35">
      <c r="A690" s="1" t="s">
        <v>1426</v>
      </c>
      <c r="B690" s="2" t="s">
        <v>10</v>
      </c>
      <c r="C690" s="2" t="s">
        <v>1427</v>
      </c>
      <c r="D690" s="181" t="s">
        <v>110</v>
      </c>
      <c r="E690" s="181" t="s">
        <v>10</v>
      </c>
      <c r="F690" s="181"/>
      <c r="G690" s="71">
        <v>1</v>
      </c>
      <c r="H690" s="68">
        <v>0</v>
      </c>
    </row>
    <row r="691" spans="1:8" ht="14.5" x14ac:dyDescent="0.35">
      <c r="A691" s="1" t="s">
        <v>1429</v>
      </c>
      <c r="B691" s="2" t="s">
        <v>10</v>
      </c>
      <c r="C691" s="2" t="s">
        <v>1430</v>
      </c>
      <c r="D691" s="181" t="s">
        <v>335</v>
      </c>
      <c r="E691" s="181" t="s">
        <v>10</v>
      </c>
      <c r="F691" s="181"/>
      <c r="G691" s="71">
        <v>60</v>
      </c>
      <c r="H691" s="68">
        <v>0</v>
      </c>
    </row>
    <row r="692" spans="1:8" ht="14.5" x14ac:dyDescent="0.35">
      <c r="A692" s="1" t="s">
        <v>1432</v>
      </c>
      <c r="B692" s="2" t="s">
        <v>10</v>
      </c>
      <c r="C692" s="2" t="s">
        <v>1433</v>
      </c>
      <c r="D692" s="181" t="s">
        <v>174</v>
      </c>
      <c r="E692" s="181" t="s">
        <v>10</v>
      </c>
      <c r="F692" s="181"/>
      <c r="G692" s="71">
        <v>18</v>
      </c>
      <c r="H692" s="68">
        <v>0</v>
      </c>
    </row>
    <row r="693" spans="1:8" ht="14.5" x14ac:dyDescent="0.35">
      <c r="A693" s="1" t="s">
        <v>1435</v>
      </c>
      <c r="B693" s="2" t="s">
        <v>10</v>
      </c>
      <c r="C693" s="2" t="s">
        <v>1436</v>
      </c>
      <c r="D693" s="181" t="s">
        <v>118</v>
      </c>
      <c r="E693" s="181" t="s">
        <v>10</v>
      </c>
      <c r="F693" s="181"/>
      <c r="G693" s="71">
        <v>2</v>
      </c>
      <c r="H693" s="68">
        <v>0</v>
      </c>
    </row>
    <row r="694" spans="1:8" ht="14.5" x14ac:dyDescent="0.35">
      <c r="A694" s="1" t="s">
        <v>1438</v>
      </c>
      <c r="B694" s="2" t="s">
        <v>10</v>
      </c>
      <c r="C694" s="2" t="s">
        <v>1439</v>
      </c>
      <c r="D694" s="181" t="s">
        <v>1685</v>
      </c>
      <c r="E694" s="181" t="s">
        <v>10</v>
      </c>
      <c r="F694" s="181"/>
      <c r="G694" s="71">
        <v>1.5</v>
      </c>
      <c r="H694" s="68">
        <v>0</v>
      </c>
    </row>
    <row r="695" spans="1:8" ht="14.5" x14ac:dyDescent="0.35">
      <c r="A695" s="4" t="s">
        <v>1441</v>
      </c>
      <c r="B695" s="5" t="s">
        <v>10</v>
      </c>
      <c r="C695" s="5" t="s">
        <v>1442</v>
      </c>
      <c r="D695" s="182" t="s">
        <v>110</v>
      </c>
      <c r="E695" s="182" t="s">
        <v>10</v>
      </c>
      <c r="F695" s="182"/>
      <c r="G695" s="75">
        <v>1</v>
      </c>
      <c r="H695" s="76">
        <v>0</v>
      </c>
    </row>
    <row r="697" spans="1:8" ht="14.5" x14ac:dyDescent="0.35">
      <c r="A697" s="59" t="s">
        <v>60</v>
      </c>
    </row>
    <row r="698" spans="1:8" ht="12.75" customHeight="1" x14ac:dyDescent="0.35">
      <c r="A698" s="91" t="s">
        <v>10</v>
      </c>
      <c r="B698" s="88"/>
      <c r="C698" s="88"/>
      <c r="D698" s="88"/>
      <c r="E698" s="88"/>
      <c r="F698" s="88"/>
      <c r="G698" s="88"/>
    </row>
  </sheetData>
  <mergeCells count="704">
    <mergeCell ref="D694:F694"/>
    <mergeCell ref="D695:F695"/>
    <mergeCell ref="A698:G698"/>
    <mergeCell ref="D689:F689"/>
    <mergeCell ref="D690:F690"/>
    <mergeCell ref="D691:F691"/>
    <mergeCell ref="D692:F692"/>
    <mergeCell ref="D693:F693"/>
    <mergeCell ref="D684:F684"/>
    <mergeCell ref="D685:F685"/>
    <mergeCell ref="D686:F686"/>
    <mergeCell ref="D687:F687"/>
    <mergeCell ref="D688:F688"/>
    <mergeCell ref="D679:F679"/>
    <mergeCell ref="D680:F680"/>
    <mergeCell ref="D681:F681"/>
    <mergeCell ref="D682:E682"/>
    <mergeCell ref="D683:F683"/>
    <mergeCell ref="D674:F674"/>
    <mergeCell ref="D675:F675"/>
    <mergeCell ref="D676:F676"/>
    <mergeCell ref="D677:F677"/>
    <mergeCell ref="D678:F678"/>
    <mergeCell ref="D669:E669"/>
    <mergeCell ref="D670:F670"/>
    <mergeCell ref="D671:F671"/>
    <mergeCell ref="D672:F672"/>
    <mergeCell ref="D673:F673"/>
    <mergeCell ref="D664:F664"/>
    <mergeCell ref="D665:F665"/>
    <mergeCell ref="D666:F666"/>
    <mergeCell ref="D667:F667"/>
    <mergeCell ref="D668:F668"/>
    <mergeCell ref="D659:F659"/>
    <mergeCell ref="D660:F660"/>
    <mergeCell ref="D661:F661"/>
    <mergeCell ref="D662:F662"/>
    <mergeCell ref="D663:F663"/>
    <mergeCell ref="E654:F654"/>
    <mergeCell ref="D655:F655"/>
    <mergeCell ref="D656:F656"/>
    <mergeCell ref="D657:E657"/>
    <mergeCell ref="D658:F658"/>
    <mergeCell ref="E649:F649"/>
    <mergeCell ref="E650:F650"/>
    <mergeCell ref="D651:F651"/>
    <mergeCell ref="D652:E652"/>
    <mergeCell ref="E653:F653"/>
    <mergeCell ref="D644:F644"/>
    <mergeCell ref="D645:E645"/>
    <mergeCell ref="E646:F646"/>
    <mergeCell ref="E647:F647"/>
    <mergeCell ref="D648:E648"/>
    <mergeCell ref="D639:E639"/>
    <mergeCell ref="D640:F640"/>
    <mergeCell ref="D641:E641"/>
    <mergeCell ref="D642:F642"/>
    <mergeCell ref="D643:F643"/>
    <mergeCell ref="D634:F634"/>
    <mergeCell ref="D635:F635"/>
    <mergeCell ref="D636:F636"/>
    <mergeCell ref="D637:F637"/>
    <mergeCell ref="D638:F638"/>
    <mergeCell ref="D629:F629"/>
    <mergeCell ref="D630:F630"/>
    <mergeCell ref="D631:F631"/>
    <mergeCell ref="D632:F632"/>
    <mergeCell ref="D633:F633"/>
    <mergeCell ref="D624:F624"/>
    <mergeCell ref="D625:F625"/>
    <mergeCell ref="D626:F626"/>
    <mergeCell ref="D627:F627"/>
    <mergeCell ref="D628:F628"/>
    <mergeCell ref="D619:F619"/>
    <mergeCell ref="D620:F620"/>
    <mergeCell ref="D621:F621"/>
    <mergeCell ref="D622:F622"/>
    <mergeCell ref="D623:F623"/>
    <mergeCell ref="D614:F614"/>
    <mergeCell ref="D615:F615"/>
    <mergeCell ref="D616:F616"/>
    <mergeCell ref="D617:E617"/>
    <mergeCell ref="D618:E618"/>
    <mergeCell ref="D609:F609"/>
    <mergeCell ref="D610:F610"/>
    <mergeCell ref="D611:F611"/>
    <mergeCell ref="D612:F612"/>
    <mergeCell ref="D613:F613"/>
    <mergeCell ref="D604:F604"/>
    <mergeCell ref="D605:F605"/>
    <mergeCell ref="D606:F606"/>
    <mergeCell ref="D607:F607"/>
    <mergeCell ref="D608:F608"/>
    <mergeCell ref="D599:F599"/>
    <mergeCell ref="D600:F600"/>
    <mergeCell ref="D601:F601"/>
    <mergeCell ref="D602:F602"/>
    <mergeCell ref="D603:F603"/>
    <mergeCell ref="D594:F594"/>
    <mergeCell ref="D595:F595"/>
    <mergeCell ref="D596:F596"/>
    <mergeCell ref="D597:F597"/>
    <mergeCell ref="D598:F598"/>
    <mergeCell ref="D589:F589"/>
    <mergeCell ref="D590:F590"/>
    <mergeCell ref="D591:F591"/>
    <mergeCell ref="D592:F592"/>
    <mergeCell ref="D593:F593"/>
    <mergeCell ref="D584:F584"/>
    <mergeCell ref="D585:F585"/>
    <mergeCell ref="D586:F586"/>
    <mergeCell ref="D587:F587"/>
    <mergeCell ref="D588:F588"/>
    <mergeCell ref="D579:F579"/>
    <mergeCell ref="D580:F580"/>
    <mergeCell ref="D581:F581"/>
    <mergeCell ref="D582:F582"/>
    <mergeCell ref="D583:F583"/>
    <mergeCell ref="D574:F574"/>
    <mergeCell ref="D575:F575"/>
    <mergeCell ref="D576:F576"/>
    <mergeCell ref="D577:F577"/>
    <mergeCell ref="D578:F578"/>
    <mergeCell ref="D569:F569"/>
    <mergeCell ref="D570:F570"/>
    <mergeCell ref="D571:F571"/>
    <mergeCell ref="D572:F572"/>
    <mergeCell ref="D573:F573"/>
    <mergeCell ref="D564:F564"/>
    <mergeCell ref="D565:E565"/>
    <mergeCell ref="D566:F566"/>
    <mergeCell ref="D567:F567"/>
    <mergeCell ref="D568:F568"/>
    <mergeCell ref="E559:F559"/>
    <mergeCell ref="E560:F560"/>
    <mergeCell ref="D561:F561"/>
    <mergeCell ref="D562:F562"/>
    <mergeCell ref="D563:E563"/>
    <mergeCell ref="E554:F554"/>
    <mergeCell ref="D555:E555"/>
    <mergeCell ref="E556:F556"/>
    <mergeCell ref="E557:F557"/>
    <mergeCell ref="D558:E558"/>
    <mergeCell ref="E549:F549"/>
    <mergeCell ref="D550:F550"/>
    <mergeCell ref="D551:E551"/>
    <mergeCell ref="E552:F552"/>
    <mergeCell ref="E553:F553"/>
    <mergeCell ref="E544:F544"/>
    <mergeCell ref="E545:F545"/>
    <mergeCell ref="E546:F546"/>
    <mergeCell ref="E547:F547"/>
    <mergeCell ref="E548:F548"/>
    <mergeCell ref="E539:F539"/>
    <mergeCell ref="E540:F540"/>
    <mergeCell ref="E541:F541"/>
    <mergeCell ref="E542:F542"/>
    <mergeCell ref="E543:F543"/>
    <mergeCell ref="E534:F534"/>
    <mergeCell ref="E535:F535"/>
    <mergeCell ref="D536:E536"/>
    <mergeCell ref="E537:F537"/>
    <mergeCell ref="E538:F538"/>
    <mergeCell ref="E529:F529"/>
    <mergeCell ref="E530:F530"/>
    <mergeCell ref="E531:F531"/>
    <mergeCell ref="D532:E532"/>
    <mergeCell ref="E533:F533"/>
    <mergeCell ref="E524:F524"/>
    <mergeCell ref="E525:F525"/>
    <mergeCell ref="E526:F526"/>
    <mergeCell ref="D527:E527"/>
    <mergeCell ref="E528:F528"/>
    <mergeCell ref="E519:F519"/>
    <mergeCell ref="E520:F520"/>
    <mergeCell ref="E521:F521"/>
    <mergeCell ref="E522:F522"/>
    <mergeCell ref="D523:E523"/>
    <mergeCell ref="E514:F514"/>
    <mergeCell ref="E515:F515"/>
    <mergeCell ref="E516:F516"/>
    <mergeCell ref="E517:F517"/>
    <mergeCell ref="D518:E518"/>
    <mergeCell ref="D509:E509"/>
    <mergeCell ref="E510:F510"/>
    <mergeCell ref="E511:F511"/>
    <mergeCell ref="E512:F512"/>
    <mergeCell ref="D513:E513"/>
    <mergeCell ref="E504:F504"/>
    <mergeCell ref="E505:F505"/>
    <mergeCell ref="D506:E506"/>
    <mergeCell ref="E507:F507"/>
    <mergeCell ref="E508:F508"/>
    <mergeCell ref="E499:F499"/>
    <mergeCell ref="E500:F500"/>
    <mergeCell ref="D501:E501"/>
    <mergeCell ref="E502:F502"/>
    <mergeCell ref="E503:F503"/>
    <mergeCell ref="E494:F494"/>
    <mergeCell ref="E495:F495"/>
    <mergeCell ref="D496:F496"/>
    <mergeCell ref="D497:E497"/>
    <mergeCell ref="E498:F498"/>
    <mergeCell ref="D489:E489"/>
    <mergeCell ref="E490:F490"/>
    <mergeCell ref="E491:F491"/>
    <mergeCell ref="E492:F492"/>
    <mergeCell ref="E493:F493"/>
    <mergeCell ref="E484:F484"/>
    <mergeCell ref="E485:F485"/>
    <mergeCell ref="E486:F486"/>
    <mergeCell ref="E487:F487"/>
    <mergeCell ref="D488:E488"/>
    <mergeCell ref="D479:F479"/>
    <mergeCell ref="D480:E480"/>
    <mergeCell ref="D481:F481"/>
    <mergeCell ref="D482:E482"/>
    <mergeCell ref="D483:E483"/>
    <mergeCell ref="D474:E474"/>
    <mergeCell ref="D475:F475"/>
    <mergeCell ref="D476:F476"/>
    <mergeCell ref="D477:F477"/>
    <mergeCell ref="D478:F478"/>
    <mergeCell ref="D469:F469"/>
    <mergeCell ref="D470:E470"/>
    <mergeCell ref="D471:E471"/>
    <mergeCell ref="E472:F472"/>
    <mergeCell ref="E473:F473"/>
    <mergeCell ref="D464:E464"/>
    <mergeCell ref="D465:F465"/>
    <mergeCell ref="D466:F466"/>
    <mergeCell ref="D467:F467"/>
    <mergeCell ref="D468:F468"/>
    <mergeCell ref="D459:E459"/>
    <mergeCell ref="D460:F460"/>
    <mergeCell ref="D461:E461"/>
    <mergeCell ref="E462:F462"/>
    <mergeCell ref="E463:F463"/>
    <mergeCell ref="D454:F454"/>
    <mergeCell ref="D455:E455"/>
    <mergeCell ref="D456:F456"/>
    <mergeCell ref="D457:F457"/>
    <mergeCell ref="D458:F458"/>
    <mergeCell ref="E449:F449"/>
    <mergeCell ref="E450:F450"/>
    <mergeCell ref="E451:F451"/>
    <mergeCell ref="D452:F452"/>
    <mergeCell ref="D453:F453"/>
    <mergeCell ref="E444:F444"/>
    <mergeCell ref="E445:F445"/>
    <mergeCell ref="E446:F446"/>
    <mergeCell ref="D447:E447"/>
    <mergeCell ref="E448:F448"/>
    <mergeCell ref="E439:F439"/>
    <mergeCell ref="D440:F440"/>
    <mergeCell ref="D441:E441"/>
    <mergeCell ref="E442:F442"/>
    <mergeCell ref="E443:F443"/>
    <mergeCell ref="D434:F434"/>
    <mergeCell ref="D435:F435"/>
    <mergeCell ref="D436:E436"/>
    <mergeCell ref="D437:E437"/>
    <mergeCell ref="E438:F438"/>
    <mergeCell ref="D429:F429"/>
    <mergeCell ref="D430:E430"/>
    <mergeCell ref="E431:F431"/>
    <mergeCell ref="E432:F432"/>
    <mergeCell ref="E433:F433"/>
    <mergeCell ref="E424:F424"/>
    <mergeCell ref="E425:F425"/>
    <mergeCell ref="E426:F426"/>
    <mergeCell ref="D427:F427"/>
    <mergeCell ref="D428:F428"/>
    <mergeCell ref="E419:F419"/>
    <mergeCell ref="E420:F420"/>
    <mergeCell ref="D421:E421"/>
    <mergeCell ref="D422:F422"/>
    <mergeCell ref="D423:E423"/>
    <mergeCell ref="D414:F414"/>
    <mergeCell ref="D415:E415"/>
    <mergeCell ref="E416:F416"/>
    <mergeCell ref="E417:F417"/>
    <mergeCell ref="D418:E418"/>
    <mergeCell ref="D409:E409"/>
    <mergeCell ref="E410:F410"/>
    <mergeCell ref="E411:F411"/>
    <mergeCell ref="D412:F412"/>
    <mergeCell ref="D413:F413"/>
    <mergeCell ref="D404:E404"/>
    <mergeCell ref="E405:F405"/>
    <mergeCell ref="E406:F406"/>
    <mergeCell ref="D407:F407"/>
    <mergeCell ref="D408:F408"/>
    <mergeCell ref="D399:F399"/>
    <mergeCell ref="D400:F400"/>
    <mergeCell ref="D401:F401"/>
    <mergeCell ref="D402:F402"/>
    <mergeCell ref="D403:E403"/>
    <mergeCell ref="D394:F394"/>
    <mergeCell ref="D395:F395"/>
    <mergeCell ref="D396:E396"/>
    <mergeCell ref="E397:F397"/>
    <mergeCell ref="E398:F398"/>
    <mergeCell ref="E389:F389"/>
    <mergeCell ref="E390:F390"/>
    <mergeCell ref="D391:F391"/>
    <mergeCell ref="D392:F392"/>
    <mergeCell ref="D393:F393"/>
    <mergeCell ref="E384:F384"/>
    <mergeCell ref="E385:F385"/>
    <mergeCell ref="E386:F386"/>
    <mergeCell ref="D387:E387"/>
    <mergeCell ref="E388:F388"/>
    <mergeCell ref="D379:E379"/>
    <mergeCell ref="E380:F380"/>
    <mergeCell ref="E381:F381"/>
    <mergeCell ref="E382:F382"/>
    <mergeCell ref="D383:E383"/>
    <mergeCell ref="D374:E374"/>
    <mergeCell ref="D375:E375"/>
    <mergeCell ref="E376:F376"/>
    <mergeCell ref="E377:F377"/>
    <mergeCell ref="E378:F378"/>
    <mergeCell ref="E369:F369"/>
    <mergeCell ref="D370:E370"/>
    <mergeCell ref="E371:F371"/>
    <mergeCell ref="E372:F372"/>
    <mergeCell ref="D373:F373"/>
    <mergeCell ref="D364:E364"/>
    <mergeCell ref="E365:F365"/>
    <mergeCell ref="E366:F366"/>
    <mergeCell ref="D367:E367"/>
    <mergeCell ref="E368:F368"/>
    <mergeCell ref="D359:F359"/>
    <mergeCell ref="D360:E360"/>
    <mergeCell ref="E361:F361"/>
    <mergeCell ref="E362:F362"/>
    <mergeCell ref="D363:F363"/>
    <mergeCell ref="E354:F354"/>
    <mergeCell ref="D355:E355"/>
    <mergeCell ref="E356:F356"/>
    <mergeCell ref="E357:F357"/>
    <mergeCell ref="D358:F358"/>
    <mergeCell ref="E349:F349"/>
    <mergeCell ref="E350:F350"/>
    <mergeCell ref="D351:E351"/>
    <mergeCell ref="E352:F352"/>
    <mergeCell ref="E353:F353"/>
    <mergeCell ref="D344:E344"/>
    <mergeCell ref="D345:E345"/>
    <mergeCell ref="E346:F346"/>
    <mergeCell ref="E347:F347"/>
    <mergeCell ref="D348:E348"/>
    <mergeCell ref="D339:F339"/>
    <mergeCell ref="D340:F340"/>
    <mergeCell ref="D341:F341"/>
    <mergeCell ref="D342:F342"/>
    <mergeCell ref="D343:F343"/>
    <mergeCell ref="E334:F334"/>
    <mergeCell ref="E335:F335"/>
    <mergeCell ref="E336:F336"/>
    <mergeCell ref="E337:F337"/>
    <mergeCell ref="D338:F338"/>
    <mergeCell ref="D329:F329"/>
    <mergeCell ref="D330:E330"/>
    <mergeCell ref="D331:F331"/>
    <mergeCell ref="D332:F332"/>
    <mergeCell ref="D333:E333"/>
    <mergeCell ref="D324:F324"/>
    <mergeCell ref="D325:E325"/>
    <mergeCell ref="E326:F326"/>
    <mergeCell ref="E327:F327"/>
    <mergeCell ref="D328:F328"/>
    <mergeCell ref="E319:F319"/>
    <mergeCell ref="E320:F320"/>
    <mergeCell ref="D321:E321"/>
    <mergeCell ref="E322:F322"/>
    <mergeCell ref="E323:F323"/>
    <mergeCell ref="E314:F314"/>
    <mergeCell ref="D315:E315"/>
    <mergeCell ref="E316:F316"/>
    <mergeCell ref="E317:F317"/>
    <mergeCell ref="D318:E318"/>
    <mergeCell ref="E309:F309"/>
    <mergeCell ref="E310:F310"/>
    <mergeCell ref="D311:F311"/>
    <mergeCell ref="D312:E312"/>
    <mergeCell ref="E313:F313"/>
    <mergeCell ref="D304:E304"/>
    <mergeCell ref="D305:E305"/>
    <mergeCell ref="E306:F306"/>
    <mergeCell ref="E307:F307"/>
    <mergeCell ref="D308:E308"/>
    <mergeCell ref="D299:E299"/>
    <mergeCell ref="E300:F300"/>
    <mergeCell ref="E301:F301"/>
    <mergeCell ref="D302:F302"/>
    <mergeCell ref="D303:F303"/>
    <mergeCell ref="D294:F294"/>
    <mergeCell ref="D295:F295"/>
    <mergeCell ref="D296:F296"/>
    <mergeCell ref="D297:F297"/>
    <mergeCell ref="D298:F298"/>
    <mergeCell ref="E289:F289"/>
    <mergeCell ref="E290:F290"/>
    <mergeCell ref="D291:E291"/>
    <mergeCell ref="E292:F292"/>
    <mergeCell ref="E293:F293"/>
    <mergeCell ref="E284:F284"/>
    <mergeCell ref="E285:F285"/>
    <mergeCell ref="D286:F286"/>
    <mergeCell ref="D287:F287"/>
    <mergeCell ref="D288:E288"/>
    <mergeCell ref="D279:F279"/>
    <mergeCell ref="D280:F280"/>
    <mergeCell ref="D281:F281"/>
    <mergeCell ref="D282:E282"/>
    <mergeCell ref="D283:E283"/>
    <mergeCell ref="E274:F274"/>
    <mergeCell ref="E275:F275"/>
    <mergeCell ref="D276:F276"/>
    <mergeCell ref="D277:F277"/>
    <mergeCell ref="D278:F278"/>
    <mergeCell ref="E269:F269"/>
    <mergeCell ref="E270:F270"/>
    <mergeCell ref="E271:F271"/>
    <mergeCell ref="D272:F272"/>
    <mergeCell ref="D273:E273"/>
    <mergeCell ref="E264:F264"/>
    <mergeCell ref="E265:F265"/>
    <mergeCell ref="E266:F266"/>
    <mergeCell ref="E267:F267"/>
    <mergeCell ref="D268:E268"/>
    <mergeCell ref="D259:F259"/>
    <mergeCell ref="D260:E260"/>
    <mergeCell ref="E261:F261"/>
    <mergeCell ref="E262:F262"/>
    <mergeCell ref="D263:E263"/>
    <mergeCell ref="D254:F254"/>
    <mergeCell ref="D255:F255"/>
    <mergeCell ref="D256:E256"/>
    <mergeCell ref="E257:F257"/>
    <mergeCell ref="E258:F258"/>
    <mergeCell ref="D249:F249"/>
    <mergeCell ref="D250:F250"/>
    <mergeCell ref="D251:F251"/>
    <mergeCell ref="D252:F252"/>
    <mergeCell ref="D253:F253"/>
    <mergeCell ref="D244:F244"/>
    <mergeCell ref="D245:E245"/>
    <mergeCell ref="E246:F246"/>
    <mergeCell ref="E247:F247"/>
    <mergeCell ref="E248:F248"/>
    <mergeCell ref="D239:F239"/>
    <mergeCell ref="D240:F240"/>
    <mergeCell ref="D241:F241"/>
    <mergeCell ref="D242:F242"/>
    <mergeCell ref="D243:F243"/>
    <mergeCell ref="D234:F234"/>
    <mergeCell ref="D235:F235"/>
    <mergeCell ref="D236:F236"/>
    <mergeCell ref="D237:F237"/>
    <mergeCell ref="D238:F238"/>
    <mergeCell ref="D229:F229"/>
    <mergeCell ref="D230:F230"/>
    <mergeCell ref="D231:F231"/>
    <mergeCell ref="D232:F232"/>
    <mergeCell ref="D233:F233"/>
    <mergeCell ref="D224:E224"/>
    <mergeCell ref="D225:F225"/>
    <mergeCell ref="D226:E226"/>
    <mergeCell ref="D227:F227"/>
    <mergeCell ref="D228:F228"/>
    <mergeCell ref="D219:F219"/>
    <mergeCell ref="D220:F220"/>
    <mergeCell ref="D221:F221"/>
    <mergeCell ref="D222:F222"/>
    <mergeCell ref="D223:F223"/>
    <mergeCell ref="D214:F214"/>
    <mergeCell ref="D215:F215"/>
    <mergeCell ref="D216:F216"/>
    <mergeCell ref="D217:F217"/>
    <mergeCell ref="D218:F218"/>
    <mergeCell ref="D209:F209"/>
    <mergeCell ref="D210:E210"/>
    <mergeCell ref="D211:F211"/>
    <mergeCell ref="D212:F212"/>
    <mergeCell ref="D213:F213"/>
    <mergeCell ref="D204:F204"/>
    <mergeCell ref="D205:F205"/>
    <mergeCell ref="D206:F206"/>
    <mergeCell ref="D207:F207"/>
    <mergeCell ref="D208:F208"/>
    <mergeCell ref="D199:F199"/>
    <mergeCell ref="D200:F200"/>
    <mergeCell ref="D201:F201"/>
    <mergeCell ref="D202:F202"/>
    <mergeCell ref="D203:F203"/>
    <mergeCell ref="D194:F194"/>
    <mergeCell ref="D195:F195"/>
    <mergeCell ref="D196:F196"/>
    <mergeCell ref="D197:F197"/>
    <mergeCell ref="D198:F198"/>
    <mergeCell ref="D189:F189"/>
    <mergeCell ref="D190:F190"/>
    <mergeCell ref="D191:F191"/>
    <mergeCell ref="D192:F192"/>
    <mergeCell ref="D193:F193"/>
    <mergeCell ref="D184:E184"/>
    <mergeCell ref="D185:E185"/>
    <mergeCell ref="D186:F186"/>
    <mergeCell ref="D187:F187"/>
    <mergeCell ref="D188:F188"/>
    <mergeCell ref="E179:F179"/>
    <mergeCell ref="D180:F180"/>
    <mergeCell ref="D181:F181"/>
    <mergeCell ref="D182:F182"/>
    <mergeCell ref="D183:F183"/>
    <mergeCell ref="D174:F174"/>
    <mergeCell ref="D175:F175"/>
    <mergeCell ref="D176:F176"/>
    <mergeCell ref="D177:E177"/>
    <mergeCell ref="E178:F178"/>
    <mergeCell ref="D169:F169"/>
    <mergeCell ref="D170:F170"/>
    <mergeCell ref="D171:F171"/>
    <mergeCell ref="D172:F172"/>
    <mergeCell ref="D173:F173"/>
    <mergeCell ref="D164:F164"/>
    <mergeCell ref="D165:F165"/>
    <mergeCell ref="D166:F166"/>
    <mergeCell ref="D167:F167"/>
    <mergeCell ref="D168:F168"/>
    <mergeCell ref="D159:F159"/>
    <mergeCell ref="D160:F160"/>
    <mergeCell ref="D161:F161"/>
    <mergeCell ref="D162:F162"/>
    <mergeCell ref="D163:F163"/>
    <mergeCell ref="D154:F154"/>
    <mergeCell ref="D155:F155"/>
    <mergeCell ref="D156:F156"/>
    <mergeCell ref="D157:F157"/>
    <mergeCell ref="D158:F158"/>
    <mergeCell ref="D149:F149"/>
    <mergeCell ref="D150:F150"/>
    <mergeCell ref="D151:F151"/>
    <mergeCell ref="D152:F152"/>
    <mergeCell ref="D153:F153"/>
    <mergeCell ref="D144:E144"/>
    <mergeCell ref="D145:F145"/>
    <mergeCell ref="D146:E146"/>
    <mergeCell ref="D147:F147"/>
    <mergeCell ref="D148:E148"/>
    <mergeCell ref="E139:F139"/>
    <mergeCell ref="E140:F140"/>
    <mergeCell ref="E141:F141"/>
    <mergeCell ref="E142:F142"/>
    <mergeCell ref="E143:F143"/>
    <mergeCell ref="E134:F134"/>
    <mergeCell ref="E135:F135"/>
    <mergeCell ref="E136:F136"/>
    <mergeCell ref="E137:F137"/>
    <mergeCell ref="E138:F138"/>
    <mergeCell ref="E129:F129"/>
    <mergeCell ref="D130:F130"/>
    <mergeCell ref="D131:F131"/>
    <mergeCell ref="D132:E132"/>
    <mergeCell ref="D133:E133"/>
    <mergeCell ref="E124:F124"/>
    <mergeCell ref="E125:F125"/>
    <mergeCell ref="D126:E126"/>
    <mergeCell ref="E127:F127"/>
    <mergeCell ref="E128:F128"/>
    <mergeCell ref="D119:E119"/>
    <mergeCell ref="E120:F120"/>
    <mergeCell ref="E121:F121"/>
    <mergeCell ref="D122:E122"/>
    <mergeCell ref="D123:E123"/>
    <mergeCell ref="E114:F114"/>
    <mergeCell ref="E115:F115"/>
    <mergeCell ref="E116:F116"/>
    <mergeCell ref="E117:F117"/>
    <mergeCell ref="E118:F118"/>
    <mergeCell ref="E109:F109"/>
    <mergeCell ref="E110:F110"/>
    <mergeCell ref="E111:F111"/>
    <mergeCell ref="E112:F112"/>
    <mergeCell ref="E113:F113"/>
    <mergeCell ref="E104:F104"/>
    <mergeCell ref="D105:E105"/>
    <mergeCell ref="E106:F106"/>
    <mergeCell ref="E107:F107"/>
    <mergeCell ref="D108:E108"/>
    <mergeCell ref="D99:E99"/>
    <mergeCell ref="D100:F100"/>
    <mergeCell ref="D101:F101"/>
    <mergeCell ref="D102:E102"/>
    <mergeCell ref="E103:F103"/>
    <mergeCell ref="E94:F94"/>
    <mergeCell ref="E95:F95"/>
    <mergeCell ref="D96:E96"/>
    <mergeCell ref="E97:F97"/>
    <mergeCell ref="E98:F98"/>
    <mergeCell ref="E89:F89"/>
    <mergeCell ref="D90:E90"/>
    <mergeCell ref="E91:F91"/>
    <mergeCell ref="E92:F92"/>
    <mergeCell ref="D93:E93"/>
    <mergeCell ref="D84:E84"/>
    <mergeCell ref="E85:F85"/>
    <mergeCell ref="E86:F86"/>
    <mergeCell ref="D87:E87"/>
    <mergeCell ref="E88:F88"/>
    <mergeCell ref="D79:F79"/>
    <mergeCell ref="D80:E80"/>
    <mergeCell ref="D81:E81"/>
    <mergeCell ref="E82:F82"/>
    <mergeCell ref="E83:F83"/>
    <mergeCell ref="D74:E74"/>
    <mergeCell ref="E75:F75"/>
    <mergeCell ref="E76:F76"/>
    <mergeCell ref="D77:F77"/>
    <mergeCell ref="D78:F78"/>
    <mergeCell ref="E69:F69"/>
    <mergeCell ref="E70:F70"/>
    <mergeCell ref="E71:F71"/>
    <mergeCell ref="E72:F72"/>
    <mergeCell ref="D73:F73"/>
    <mergeCell ref="D64:F64"/>
    <mergeCell ref="D65:E65"/>
    <mergeCell ref="D66:E66"/>
    <mergeCell ref="E67:F67"/>
    <mergeCell ref="E68:F68"/>
    <mergeCell ref="D59:E59"/>
    <mergeCell ref="D60:F60"/>
    <mergeCell ref="D61:F61"/>
    <mergeCell ref="D62:F62"/>
    <mergeCell ref="D63:E63"/>
    <mergeCell ref="D54:F54"/>
    <mergeCell ref="D55:F55"/>
    <mergeCell ref="D56:E56"/>
    <mergeCell ref="E57:F57"/>
    <mergeCell ref="E58:F58"/>
    <mergeCell ref="D49:F49"/>
    <mergeCell ref="D50:E50"/>
    <mergeCell ref="D51:E51"/>
    <mergeCell ref="E52:F52"/>
    <mergeCell ref="E53:F53"/>
    <mergeCell ref="D44:F44"/>
    <mergeCell ref="D45:F45"/>
    <mergeCell ref="D46:F46"/>
    <mergeCell ref="D47:F47"/>
    <mergeCell ref="D48:F48"/>
    <mergeCell ref="D39:F39"/>
    <mergeCell ref="D40:E40"/>
    <mergeCell ref="D41:F41"/>
    <mergeCell ref="D42:F42"/>
    <mergeCell ref="D43:E43"/>
    <mergeCell ref="D34:E34"/>
    <mergeCell ref="E35:F35"/>
    <mergeCell ref="E36:F36"/>
    <mergeCell ref="D37:F37"/>
    <mergeCell ref="D38:F38"/>
    <mergeCell ref="E29:F29"/>
    <mergeCell ref="D30:E30"/>
    <mergeCell ref="E31:F31"/>
    <mergeCell ref="E32:F32"/>
    <mergeCell ref="E33:F33"/>
    <mergeCell ref="E24:F24"/>
    <mergeCell ref="E25:F25"/>
    <mergeCell ref="E26:F26"/>
    <mergeCell ref="D27:E27"/>
    <mergeCell ref="E28:F28"/>
    <mergeCell ref="D19:F19"/>
    <mergeCell ref="D20:F20"/>
    <mergeCell ref="D21:F21"/>
    <mergeCell ref="D22:E22"/>
    <mergeCell ref="D23:E23"/>
    <mergeCell ref="E14:F14"/>
    <mergeCell ref="E15:F15"/>
    <mergeCell ref="D16:F16"/>
    <mergeCell ref="D17:F17"/>
    <mergeCell ref="D18:F18"/>
    <mergeCell ref="F8:H9"/>
    <mergeCell ref="D10:E10"/>
    <mergeCell ref="D11:E11"/>
    <mergeCell ref="D12:E12"/>
    <mergeCell ref="E13:F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Krycí list rozpočtu</vt:lpstr>
      <vt:lpstr>VORN</vt:lpstr>
      <vt:lpstr>Stavební rozpočet</vt:lpstr>
      <vt:lpstr>Výkaz výměr</vt:lpstr>
      <vt:lpstr>'Stavební rozpočet'!Názvy_tisku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MILAN KROUPA</cp:lastModifiedBy>
  <cp:lastPrinted>2025-05-15T13:05:50Z</cp:lastPrinted>
  <dcterms:created xsi:type="dcterms:W3CDTF">2021-06-10T20:06:38Z</dcterms:created>
  <dcterms:modified xsi:type="dcterms:W3CDTF">2025-05-21T13:27:28Z</dcterms:modified>
</cp:coreProperties>
</file>