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10" activeTab="3"/>
  </bookViews>
  <sheets>
    <sheet name="Krycí list rozpočtu" sheetId="1" r:id="rId1"/>
    <sheet name="VORN" sheetId="2" r:id="rId2"/>
    <sheet name="Rozpočet - podskupiny" sheetId="3" r:id="rId3"/>
    <sheet name="Stavební rozpočet" sheetId="4" r:id="rId4"/>
    <sheet name="Výkaz výměr" sheetId="5" r:id="rId5"/>
  </sheets>
  <definedNames>
    <definedName name="_xlfn.SINGLE" hidden="1">#NAME?</definedName>
    <definedName name="_xlnm.Print_Titles" localSheetId="3">'Stavební rozpočet'!$10:$11</definedName>
    <definedName name="vorn_sum">'VORN'!$I$33:$I$33</definedName>
  </definedNames>
  <calcPr fullCalcOnLoad="1"/>
</workbook>
</file>

<file path=xl/sharedStrings.xml><?xml version="1.0" encoding="utf-8"?>
<sst xmlns="http://schemas.openxmlformats.org/spreadsheetml/2006/main" count="2151" uniqueCount="590">
  <si>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</si>
  <si>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</si>
  <si>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</si>
  <si>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</si>
  <si>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</si>
  <si>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</si>
  <si>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</si>
  <si>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</si>
  <si>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</si>
  <si>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</si>
  <si>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</si>
  <si>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</si>
  <si>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</si>
  <si>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</si>
  <si>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</si>
  <si>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</si>
  <si>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</si>
  <si>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</si>
  <si>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</si>
  <si>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</si>
  <si>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</si>
  <si>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</si>
  <si>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</si>
  <si>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</si>
  <si>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</si>
  <si>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</si>
  <si>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</si>
  <si>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</si>
  <si>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</si>
  <si>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</si>
  <si>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</si>
  <si>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</si>
  <si>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</si>
  <si>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</si>
  <si>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</si>
  <si>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</si>
  <si>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</si>
  <si>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</si>
  <si>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</si>
  <si>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</si>
  <si>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</si>
  <si>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</si>
  <si>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</si>
  <si>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</si>
  <si>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</si>
  <si>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</si>
  <si>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</si>
  <si>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</si>
  <si>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</si>
  <si>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</si>
  <si>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</si>
  <si>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</si>
  <si>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</si>
  <si>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</si>
  <si>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</si>
  <si>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</si>
  <si>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27145611/CZ27145611</t>
  </si>
  <si>
    <t>110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</si>
  <si>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</si>
  <si>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</si>
  <si>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</si>
  <si>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</si>
  <si>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</si>
  <si>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</si>
  <si>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</si>
  <si>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</si>
  <si>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</si>
  <si>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</si>
  <si>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</si>
  <si>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</si>
  <si>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 - Jen podskupiny</t>
  </si>
  <si>
    <t xml:space="preserve"> </t>
  </si>
  <si>
    <t>Objekt</t>
  </si>
  <si>
    <t>Kód</t>
  </si>
  <si>
    <t>34</t>
  </si>
  <si>
    <t>61</t>
  </si>
  <si>
    <t>62</t>
  </si>
  <si>
    <t>63</t>
  </si>
  <si>
    <t>64</t>
  </si>
  <si>
    <t>714</t>
  </si>
  <si>
    <t>721</t>
  </si>
  <si>
    <t>722</t>
  </si>
  <si>
    <t>725</t>
  </si>
  <si>
    <t>728</t>
  </si>
  <si>
    <t>766</t>
  </si>
  <si>
    <t>776</t>
  </si>
  <si>
    <t>781</t>
  </si>
  <si>
    <t>783</t>
  </si>
  <si>
    <t>784</t>
  </si>
  <si>
    <t>94</t>
  </si>
  <si>
    <t>952</t>
  </si>
  <si>
    <t>96</t>
  </si>
  <si>
    <t>97</t>
  </si>
  <si>
    <t>H99</t>
  </si>
  <si>
    <t>M21</t>
  </si>
  <si>
    <t>S</t>
  </si>
  <si>
    <t>Zkrácený popis</t>
  </si>
  <si>
    <t>Nezařazeno</t>
  </si>
  <si>
    <t>Stěny a příčky</t>
  </si>
  <si>
    <t>Úprava povrchů vnitřní</t>
  </si>
  <si>
    <t>Úprava povrchů vnější</t>
  </si>
  <si>
    <t>Podlahy a podlahové konstrukce</t>
  </si>
  <si>
    <t>Výplně otvorů</t>
  </si>
  <si>
    <t>Podhled</t>
  </si>
  <si>
    <t>Vnitřní kanalizace</t>
  </si>
  <si>
    <t>Vnitřní vodovod</t>
  </si>
  <si>
    <t>Zařizovací předměty</t>
  </si>
  <si>
    <t>Vzduchotechnika</t>
  </si>
  <si>
    <t>Konstrukce truhlářské</t>
  </si>
  <si>
    <t>Podlahy povlakové</t>
  </si>
  <si>
    <t>Obklady (keramické)</t>
  </si>
  <si>
    <t>Nátěry</t>
  </si>
  <si>
    <t>Malby</t>
  </si>
  <si>
    <t>Lešení a stavební výtahy</t>
  </si>
  <si>
    <t>Čištění objektů</t>
  </si>
  <si>
    <t>Bourání konstrukcí</t>
  </si>
  <si>
    <t>Prorážení otvorů a ostatní bourací práce</t>
  </si>
  <si>
    <t>Ostatní přesuny hmot</t>
  </si>
  <si>
    <t>Elektromontáže</t>
  </si>
  <si>
    <t>Přesuny sutí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</si>
  <si>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</si>
  <si>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</si>
  <si>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</si>
  <si>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</si>
  <si>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</si>
  <si>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</si>
  <si>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</si>
  <si>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</si>
  <si>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T</t>
  </si>
  <si>
    <t>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</si>
  <si>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</si>
  <si>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</si>
  <si>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</si>
  <si>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</si>
  <si>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</si>
  <si>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</si>
  <si>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</si>
  <si>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</si>
  <si>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</si>
  <si>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</si>
  <si>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</si>
  <si>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</si>
  <si>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</si>
  <si>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</si>
  <si>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</si>
  <si>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</si>
  <si>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</si>
  <si>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</si>
  <si>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</si>
  <si>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</si>
  <si>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</si>
  <si>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</si>
  <si>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</si>
  <si>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</si>
  <si>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</si>
  <si>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</si>
  <si>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</si>
  <si>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</si>
  <si>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</si>
  <si>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</si>
  <si>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</si>
  <si>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</si>
  <si>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</si>
  <si>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</si>
  <si>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</si>
  <si>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</si>
  <si>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</si>
  <si>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</si>
  <si>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</si>
  <si>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</si>
  <si>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</si>
  <si>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</si>
  <si>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</si>
  <si>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</si>
  <si>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</si>
  <si>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</si>
  <si>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</si>
  <si>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</si>
  <si>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</si>
  <si>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</si>
  <si>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</si>
  <si>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</si>
  <si>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</si>
  <si>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</si>
  <si>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</si>
  <si>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</si>
  <si>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</si>
  <si>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</si>
  <si>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</si>
  <si>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</si>
  <si>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</si>
  <si>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</si>
  <si>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</si>
  <si>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</si>
  <si>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</si>
  <si>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</si>
  <si>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</si>
  <si>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</si>
  <si>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</si>
  <si>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</si>
  <si>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</si>
  <si>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</si>
  <si>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</si>
  <si>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</si>
  <si>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</si>
  <si>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</si>
  <si>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</si>
  <si>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</si>
  <si>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</si>
  <si>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</si>
  <si>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</si>
  <si>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</si>
  <si>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</si>
  <si>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</si>
  <si>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</si>
  <si>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</si>
  <si>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</si>
  <si>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</si>
  <si>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</si>
  <si>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</si>
  <si>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</si>
  <si>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</si>
  <si>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</si>
  <si>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</si>
  <si>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</si>
  <si>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</si>
  <si>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</si>
  <si>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</si>
  <si>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</si>
  <si>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</si>
  <si>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</si>
  <si>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</si>
  <si>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342013322RT3</t>
  </si>
  <si>
    <t>310100011RA0</t>
  </si>
  <si>
    <t>612100030RAA</t>
  </si>
  <si>
    <t>612100020RA0</t>
  </si>
  <si>
    <t>612403388R00</t>
  </si>
  <si>
    <t>601016175RT1</t>
  </si>
  <si>
    <t>622471326RT11</t>
  </si>
  <si>
    <t>632411240R00</t>
  </si>
  <si>
    <t>642944121RU5</t>
  </si>
  <si>
    <t>641952551R00</t>
  </si>
  <si>
    <t>714211111R02</t>
  </si>
  <si>
    <t>714211111RT23</t>
  </si>
  <si>
    <t>721171808R00</t>
  </si>
  <si>
    <t>721194105R00</t>
  </si>
  <si>
    <t>721290112R00</t>
  </si>
  <si>
    <t>721176113R00</t>
  </si>
  <si>
    <t>722130801R00</t>
  </si>
  <si>
    <t>722174916R00</t>
  </si>
  <si>
    <t>722172312R00</t>
  </si>
  <si>
    <t>722181224RT8</t>
  </si>
  <si>
    <t>722220122R001</t>
  </si>
  <si>
    <t>722280108R00</t>
  </si>
  <si>
    <t>722290234R00</t>
  </si>
  <si>
    <t>722202442R00</t>
  </si>
  <si>
    <t>722237620R00</t>
  </si>
  <si>
    <t>725210821R00</t>
  </si>
  <si>
    <t>725823111RT2</t>
  </si>
  <si>
    <t>725017162R00</t>
  </si>
  <si>
    <t>725980113RT12</t>
  </si>
  <si>
    <t>725292043R00</t>
  </si>
  <si>
    <t>725VD</t>
  </si>
  <si>
    <t>728111822R00</t>
  </si>
  <si>
    <t>728211621R001</t>
  </si>
  <si>
    <t>766692325R00D</t>
  </si>
  <si>
    <t>766411821R00</t>
  </si>
  <si>
    <t>766411822R00</t>
  </si>
  <si>
    <t>766661122R00</t>
  </si>
  <si>
    <t>766670021R00</t>
  </si>
  <si>
    <t>54914624</t>
  </si>
  <si>
    <t>611617013</t>
  </si>
  <si>
    <t>611999115VD</t>
  </si>
  <si>
    <t>61160415</t>
  </si>
  <si>
    <t>776401800R00</t>
  </si>
  <si>
    <t>776511820RT2</t>
  </si>
  <si>
    <t>776101101R00</t>
  </si>
  <si>
    <t>776101115R00</t>
  </si>
  <si>
    <t>776421100RU1</t>
  </si>
  <si>
    <t>776521100RT1</t>
  </si>
  <si>
    <t>28412387A</t>
  </si>
  <si>
    <t>776996110R00</t>
  </si>
  <si>
    <t>776994111RT1</t>
  </si>
  <si>
    <t>776981114RT1</t>
  </si>
  <si>
    <t>781101111R00</t>
  </si>
  <si>
    <t>781101210RT1</t>
  </si>
  <si>
    <t>781111116R00</t>
  </si>
  <si>
    <t>781497121RS2</t>
  </si>
  <si>
    <t>781475116RU1</t>
  </si>
  <si>
    <t>781779705RT2</t>
  </si>
  <si>
    <t>597813667</t>
  </si>
  <si>
    <t>783120010RAE</t>
  </si>
  <si>
    <t>783394240R00</t>
  </si>
  <si>
    <t>783425150R00</t>
  </si>
  <si>
    <t>784011121R00</t>
  </si>
  <si>
    <t>784011211RT3</t>
  </si>
  <si>
    <t>784111101R00</t>
  </si>
  <si>
    <t>784195322R00</t>
  </si>
  <si>
    <t>784402801R00</t>
  </si>
  <si>
    <t>941955001R00</t>
  </si>
  <si>
    <t>952901199VD</t>
  </si>
  <si>
    <t>965048250R00</t>
  </si>
  <si>
    <t>965081713RT1</t>
  </si>
  <si>
    <t>968072245RZZ</t>
  </si>
  <si>
    <t>965042141RT1</t>
  </si>
  <si>
    <t>968061126R00</t>
  </si>
  <si>
    <t>968062354R00A</t>
  </si>
  <si>
    <t>962036125R001</t>
  </si>
  <si>
    <t>96306VD</t>
  </si>
  <si>
    <t>978059531R00</t>
  </si>
  <si>
    <t>971038631R00</t>
  </si>
  <si>
    <t>974082215R00</t>
  </si>
  <si>
    <t>973031616R00</t>
  </si>
  <si>
    <t>974031155R00</t>
  </si>
  <si>
    <t>999281111R00</t>
  </si>
  <si>
    <t>210025RT1</t>
  </si>
  <si>
    <t>210024R00</t>
  </si>
  <si>
    <t>210032RT3</t>
  </si>
  <si>
    <t>210034RT2</t>
  </si>
  <si>
    <t>21005RT1</t>
  </si>
  <si>
    <t>21008RT1</t>
  </si>
  <si>
    <t>210010RT2</t>
  </si>
  <si>
    <t>210011R00</t>
  </si>
  <si>
    <t>210014RT1</t>
  </si>
  <si>
    <t>210015R00</t>
  </si>
  <si>
    <t>210019RT1</t>
  </si>
  <si>
    <t>210023R021</t>
  </si>
  <si>
    <t>210021RT1</t>
  </si>
  <si>
    <t>21004R00</t>
  </si>
  <si>
    <t>21009RT1</t>
  </si>
  <si>
    <t>210010091RT2</t>
  </si>
  <si>
    <t>979017111R00</t>
  </si>
  <si>
    <t>979081111R00</t>
  </si>
  <si>
    <t>979081121RT2</t>
  </si>
  <si>
    <t>979082111R00</t>
  </si>
  <si>
    <t>979990107R00</t>
  </si>
  <si>
    <t>979082121R00</t>
  </si>
  <si>
    <t>979017191R00</t>
  </si>
  <si>
    <t>979990111R00</t>
  </si>
  <si>
    <t>979990181R00</t>
  </si>
  <si>
    <t>979091195R00</t>
  </si>
  <si>
    <t>979086213R00</t>
  </si>
  <si>
    <t>ZŠ RAKOVSKÉHO  rozšíření jídelny</t>
  </si>
  <si>
    <t>rekonstrukce a oprava</t>
  </si>
  <si>
    <t>RAKOVSKÉHO 3136/1, PRAHA 12</t>
  </si>
  <si>
    <t>Příčka SDK tl.150 mm,ocel.kce,2x oplášť.,RF 12,5mm  100mm izolace</t>
  </si>
  <si>
    <t>Zazdívka otvorů ve zdivu, bez úpravy povrchu</t>
  </si>
  <si>
    <t>Omítka stěn vnitřní vápenocementová štuková</t>
  </si>
  <si>
    <t>Začištění omítek kolem oken a dveří</t>
  </si>
  <si>
    <t>Výplň rýh ve stěnách do  maltou z SMS</t>
  </si>
  <si>
    <t>Štuk ručně</t>
  </si>
  <si>
    <t>Nátěr stěn keramickyý</t>
  </si>
  <si>
    <t>Potěr (stěrka) do tl. 50 mm</t>
  </si>
  <si>
    <t>Osazení ocelových zárubní  včetně dodávky zárubně</t>
  </si>
  <si>
    <t>Osazení oken</t>
  </si>
  <si>
    <t>Montáž akustického podhledu z miner.panelů</t>
  </si>
  <si>
    <t>Dodávka podhledu</t>
  </si>
  <si>
    <t>Demontáž potrubí</t>
  </si>
  <si>
    <t>Vyvedení odpadních výpustek D 50 x 1,8</t>
  </si>
  <si>
    <t>Zkouška těsnosti kanalizace vodou</t>
  </si>
  <si>
    <t>Potrubí HT připojovací D 50 x 1,8 mm</t>
  </si>
  <si>
    <t>Demontáž potrubí do DN 32</t>
  </si>
  <si>
    <t>Sestavení plastového rozvodu vody do  D 50 mm</t>
  </si>
  <si>
    <t>Potrubí z PPR, D 25x3,5 mm, PN 16, vč.zed.výpom.</t>
  </si>
  <si>
    <t>Izolace návleková. stěny 20 mm  do prum 25</t>
  </si>
  <si>
    <t>Univerzální nástěnný komplet 20x1/2", včetně dodávky a montáže</t>
  </si>
  <si>
    <t>Tlaková zkouška vodovodního potrubí do DN 50</t>
  </si>
  <si>
    <t>Proplach a dezinfekce vodovod.potrubí</t>
  </si>
  <si>
    <t>Kohout kulový .s výpustí D 25</t>
  </si>
  <si>
    <t>Ventil rohový (roháček)</t>
  </si>
  <si>
    <t>Demontáž umyvadel</t>
  </si>
  <si>
    <t>Baterie páková umyvadlová stoján. ruční, bez otvír.odpadu</t>
  </si>
  <si>
    <t>Umyvadlo na šrouby včetně sifonu a montážní sady</t>
  </si>
  <si>
    <t>Dvířka revizní 400 x 300 mm</t>
  </si>
  <si>
    <t>Dávkovač tekutého mýdla nerezový, automatický 350ml</t>
  </si>
  <si>
    <t>D+M Zásobník papírových ručníků</t>
  </si>
  <si>
    <t>Demontáž VZT  potrubí plechového 4hranného</t>
  </si>
  <si>
    <t>D + M záslepky plechové čtyřhranné na VZT potrubí</t>
  </si>
  <si>
    <t>Demontáž záclon.krytů nad 360 cm</t>
  </si>
  <si>
    <t>Demontáž obložení stěn a sloupů palubkami</t>
  </si>
  <si>
    <t>Demontáž podkladových roštů obložení stěn</t>
  </si>
  <si>
    <t>Montáž dveří do zárubně,otevíravých</t>
  </si>
  <si>
    <t>Montáž kliky a štítku</t>
  </si>
  <si>
    <t>Dveřní kování klíč standard FAB</t>
  </si>
  <si>
    <t>Dveře vnitřní  plné 1kř. 80x197 cm</t>
  </si>
  <si>
    <t>okno dřevěné  výdejovéí 700x1200</t>
  </si>
  <si>
    <t>Dveře vnitřní fólie KLASIK 1/3 sklo 2kř. 145x197  (145/220) nutno doměřit</t>
  </si>
  <si>
    <t>Demontáž soklíků nebo lišt, pryžových nebo z PVC</t>
  </si>
  <si>
    <t>Odstranění PVC  lepených</t>
  </si>
  <si>
    <t>Vysávání podlah prům.vysavačem pod povlak.podlahy</t>
  </si>
  <si>
    <t>Vyrovnání podkladů samonivelační hmotou</t>
  </si>
  <si>
    <t>Lepení podlahových soklíků z PVC a vinylu včetně dodávky soklíku</t>
  </si>
  <si>
    <t>Lepení povlak.podlah z pásů PVC na Chemopren</t>
  </si>
  <si>
    <t>Podlahovina  tl. 2,5 mm  ( PVC Vinyl  )</t>
  </si>
  <si>
    <t>Napuštění povlakových podlah pastou</t>
  </si>
  <si>
    <t>Svařování povlakových podlah z pásů nebo čtverců</t>
  </si>
  <si>
    <t>Lišta hliníková podlahová krycí, povlak.podlaha</t>
  </si>
  <si>
    <t>Vyrovnání podkladu maltou ze SMS tl. do 7 mm</t>
  </si>
  <si>
    <t>Penetrace podkladu pod obklady</t>
  </si>
  <si>
    <t>Otvor v obkladačce diamant.korunkou prům.do 90 mm</t>
  </si>
  <si>
    <t>Lišta hliníková rohová k obkladům</t>
  </si>
  <si>
    <t>Obklad vnitřní stěn keramický, do tmele do 30x30 cm</t>
  </si>
  <si>
    <t>Příplatek za spár.hmotu-plošně</t>
  </si>
  <si>
    <t>Obkládačka 200*250 standard</t>
  </si>
  <si>
    <t>Nátěr zárubní</t>
  </si>
  <si>
    <t>Nátěr . radiátorů    1x + 2x email  bez demontáže</t>
  </si>
  <si>
    <t>Nátěr syntetický potrubí do DN 100 mm  Z + 2x</t>
  </si>
  <si>
    <t>Broušení štuků a nových omítek</t>
  </si>
  <si>
    <t>Olepování vnitřních ploch</t>
  </si>
  <si>
    <t>Penetrace podkladu nátěrem V1307  1 x</t>
  </si>
  <si>
    <t>Malba , bez penetrace,2 x</t>
  </si>
  <si>
    <t>Odstranění malby oškrábáním v místnosti H do 3,8 m</t>
  </si>
  <si>
    <t>Lešení lehké pomocné, výška podlahy do 1,2 m</t>
  </si>
  <si>
    <t>Zakrývání konstrukcí geotextilie a vlnitá lepenka</t>
  </si>
  <si>
    <t>Dočištění povrchu po vybourání dlažeb, MC do 50%</t>
  </si>
  <si>
    <t>Bourání NAŠLAPNÝCH VRSTEV PODLAHY</t>
  </si>
  <si>
    <t>Vybourání kovových zárubní</t>
  </si>
  <si>
    <t>Bourání mazanin betonových</t>
  </si>
  <si>
    <t>Vyvěšení dřevěných dveřních křídel</t>
  </si>
  <si>
    <t>Vybourání okna</t>
  </si>
  <si>
    <t>Demontáž sádrokartonové příčky (včetně výplně)</t>
  </si>
  <si>
    <t>Demontáž zrcadla</t>
  </si>
  <si>
    <t>Odsekání vnitřních obkladů stěn nad 2 m2</t>
  </si>
  <si>
    <t>Vybourání  cihelné příčky otvoru</t>
  </si>
  <si>
    <t>Vysekání rýh pro vodiče omítka stěn MC šířka 10 cm</t>
  </si>
  <si>
    <t>Vysekání kapes zeď cih. špalíky, krabice 10x10x5cm</t>
  </si>
  <si>
    <t>Vysekání rýh pro kanalizaci a vodu</t>
  </si>
  <si>
    <t>Přesun hmot pro opravy a údržbu do výšky 25 m</t>
  </si>
  <si>
    <t>Revize a revizní zpráva</t>
  </si>
  <si>
    <t>Dokumentace skutečného provedení</t>
  </si>
  <si>
    <t>D+M Svítidlo do tanečního sálu doplnění obdoba stávajícího</t>
  </si>
  <si>
    <t>demontáž a zpětná montáž svítidla v tan sále (posunutí)</t>
  </si>
  <si>
    <t>D+M Vypínač j 230V, 10A</t>
  </si>
  <si>
    <t>D+M Zásuvka domovní  230V, 16A</t>
  </si>
  <si>
    <t>D+M Krabice přístrojová</t>
  </si>
  <si>
    <t>D+M Krabicová rozvodka</t>
  </si>
  <si>
    <t>D+M Kabel CYKY 3 x 2,5</t>
  </si>
  <si>
    <t>D+M Kabel CYKY 3 x 1,5</t>
  </si>
  <si>
    <t>D+M Ukončení vodičů do  2,5 mm2</t>
  </si>
  <si>
    <t>Stavební přípomoci</t>
  </si>
  <si>
    <t>Pomocný, montážní a označovací materiál (15%), bez svítidel</t>
  </si>
  <si>
    <t>D+M Svítidlo  do rozšířené jídelny obdobná stávajícm</t>
  </si>
  <si>
    <t>Úprava v rozvaděči</t>
  </si>
  <si>
    <t>Lišta hranatá bezhalogenová do šířky 40 mm včetně dodávky</t>
  </si>
  <si>
    <t>Svislé přemístění suti nošením na H do 3,5 m</t>
  </si>
  <si>
    <t>Odvoz suti a vybour. hmot na skládku do 1 km</t>
  </si>
  <si>
    <t>Příplatek k odvozu za každý další 1 km</t>
  </si>
  <si>
    <t>Vnitrostaveništní doprava suti do 10 m</t>
  </si>
  <si>
    <t>Poplatek za skládku suti - směs betonu,cihel,dřeva</t>
  </si>
  <si>
    <t>Příplatek k vnitrost. dopravě suti za dalších 5 m</t>
  </si>
  <si>
    <t>Příplatek k přemístění suti za dalších H 3,5 m</t>
  </si>
  <si>
    <t>Poplatek za skládku suti - stavební keramika</t>
  </si>
  <si>
    <t>Poplatek za skládku suti - PVC podlahová krytina</t>
  </si>
  <si>
    <t>Příplatek za vodorovné přemíst. hmot při rekonst.</t>
  </si>
  <si>
    <t>Nakládání vybouraných hmot na dopravní prostředek</t>
  </si>
  <si>
    <t>MJ</t>
  </si>
  <si>
    <t>m2</t>
  </si>
  <si>
    <t>m</t>
  </si>
  <si>
    <t>kus</t>
  </si>
  <si>
    <t>pár</t>
  </si>
  <si>
    <t>ks</t>
  </si>
  <si>
    <t>soubor</t>
  </si>
  <si>
    <t>Ks</t>
  </si>
  <si>
    <t>t</t>
  </si>
  <si>
    <t>kpl</t>
  </si>
  <si>
    <t>Množství</t>
  </si>
  <si>
    <t>Cena/MJ</t>
  </si>
  <si>
    <t>(Kč)</t>
  </si>
  <si>
    <t> </t>
  </si>
  <si>
    <t>MIKRO PRAHA spol. s.r.o.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</si>
  <si>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</si>
  <si>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</si>
  <si>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</si>
  <si>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</si>
  <si>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</si>
  <si>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</si>
  <si>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</si>
  <si>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</si>
  <si>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</si>
  <si>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</si>
  <si>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</si>
  <si>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</si>
  <si>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</si>
  <si>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</si>
  <si>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</si>
  <si>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</si>
  <si>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</si>
  <si>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714_</t>
  </si>
  <si>
    <t>721_</t>
  </si>
  <si>
    <t>722_</t>
  </si>
  <si>
    <t>725_</t>
  </si>
  <si>
    <t>728_</t>
  </si>
  <si>
    <t>766_</t>
  </si>
  <si>
    <t>776_</t>
  </si>
  <si>
    <t>781_</t>
  </si>
  <si>
    <t>783_</t>
  </si>
  <si>
    <t>784_</t>
  </si>
  <si>
    <t>94_</t>
  </si>
  <si>
    <t>952_</t>
  </si>
  <si>
    <t>96_</t>
  </si>
  <si>
    <t>97_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</si>
  <si>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</si>
  <si>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</si>
  <si>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</si>
  <si>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</si>
  <si>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</si>
  <si>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</si>
  <si>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</si>
  <si>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</si>
  <si>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</si>
  <si>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</si>
  <si>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</si>
  <si>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</si>
  <si>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</si>
  <si>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</si>
  <si>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</si>
  <si>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</si>
  <si>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</si>
  <si>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</si>
  <si>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</si>
  <si>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Výkaz výměr</t>
  </si>
  <si>
    <t>(5,6+2,4+1,6)*2,95</t>
  </si>
  <si>
    <t>1,85*1,3</t>
  </si>
  <si>
    <t>34,4*1,1</t>
  </si>
  <si>
    <t>13,5</t>
  </si>
  <si>
    <t>5+5+(1,2+0,8)*4</t>
  </si>
  <si>
    <t>+20+12</t>
  </si>
  <si>
    <t>0,4*4*11*2</t>
  </si>
  <si>
    <t>6,3*4,3+6,3*1,6</t>
  </si>
  <si>
    <t>38*1,05</t>
  </si>
  <si>
    <t>5*1</t>
  </si>
  <si>
    <t>2*8</t>
  </si>
  <si>
    <t>0</t>
  </si>
  <si>
    <t>2*5</t>
  </si>
  <si>
    <t>1+4</t>
  </si>
  <si>
    <t>(0,4*4+1,6*2)*2</t>
  </si>
  <si>
    <t>0,4*4*2</t>
  </si>
  <si>
    <t>(5,5+3,8+1,5)*2</t>
  </si>
  <si>
    <t>34,4</t>
  </si>
  <si>
    <t>16,7+16,7+12,3+12,3+0,4*4*3+0,4*3*4</t>
  </si>
  <si>
    <t>(16,7*12,3)-0,4*0,4*7</t>
  </si>
  <si>
    <t>16,7*12,3+6,3*4,3+6,3*1,6</t>
  </si>
  <si>
    <t>6,3+4,3+4,3+16,7+16,7+13,3+13,3+0,4*4*7+2,4+1,6</t>
  </si>
  <si>
    <t>242</t>
  </si>
  <si>
    <t>8*13,2+3*4,5</t>
  </si>
  <si>
    <t>3,5*1,75</t>
  </si>
  <si>
    <t>5*3</t>
  </si>
  <si>
    <t>1,75+3,5</t>
  </si>
  <si>
    <t>;ztratné 10%; 0,7</t>
  </si>
  <si>
    <t>9*1,9*0,8</t>
  </si>
  <si>
    <t>2*15</t>
  </si>
  <si>
    <t>30*1,2</t>
  </si>
  <si>
    <t>(2,3+1,5+1,6+1,6+4,6+6,3+1,9+12)*2,8</t>
  </si>
  <si>
    <t>37,5</t>
  </si>
  <si>
    <t>6,3*4,35</t>
  </si>
  <si>
    <t>6,3*1,6</t>
  </si>
  <si>
    <t>0,015</t>
  </si>
  <si>
    <t>1+2+2</t>
  </si>
  <si>
    <t>(6,35+4,3+5,3)*2,95</t>
  </si>
  <si>
    <t>0,0475</t>
  </si>
  <si>
    <t>2,1*1,8</t>
  </si>
  <si>
    <t>6,5*1,5</t>
  </si>
  <si>
    <t>14*0,15*2</t>
  </si>
  <si>
    <t>0,7*1,2</t>
  </si>
  <si>
    <t>12+8</t>
  </si>
  <si>
    <t>25+2*2+50</t>
  </si>
  <si>
    <t>30+10+4</t>
  </si>
  <si>
    <t>2*1,5+3</t>
  </si>
  <si>
    <t>25*13,5</t>
  </si>
  <si>
    <t>11,5</t>
  </si>
  <si>
    <t>20*13,5</t>
  </si>
  <si>
    <t>palubky</t>
  </si>
  <si>
    <t>odsekání obkladů</t>
  </si>
  <si>
    <t>drobné opravy</t>
  </si>
  <si>
    <t>dtto</t>
  </si>
  <si>
    <t>70/197</t>
  </si>
  <si>
    <t>m.č 15</t>
  </si>
  <si>
    <t>90/197</t>
  </si>
  <si>
    <t>80197</t>
  </si>
  <si>
    <t>kancelaře</t>
  </si>
  <si>
    <t>taneční sál</t>
  </si>
  <si>
    <t>okno do chodby</t>
  </si>
  <si>
    <t>kancelař</t>
  </si>
  <si>
    <t>chodba</t>
  </si>
  <si>
    <t>Potřebné množství</t>
  </si>
  <si>
    <t xml:space="preserve">RTS </t>
  </si>
  <si>
    <t>úklid a průběžný úklid během výstavby</t>
  </si>
  <si>
    <t>všechny položky naceńte práci a materiál pokud materiál nemá vlastní řádek</t>
  </si>
  <si>
    <t>D+M Svítidlo  do rozšířené jídelny, sálu a kanc. obdobná stávajícm</t>
  </si>
  <si>
    <t>Potrubí HT připojovací D 70 x 1,8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</si>
</sst>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63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4"/>
      <color indexed="8"/>
      <name val="Arial"/>
      <family val="2"/>
    </font>
    <font>
      <sz val="12"/>
      <color indexed="6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62"/>
      <name val="Arial"/>
      <family val="2"/>
    </font>
    <font>
      <i/>
      <sz val="12"/>
      <color indexed="63"/>
      <name val="Arial"/>
      <family val="2"/>
    </font>
    <font>
      <i/>
      <sz val="12"/>
      <color indexed="50"/>
      <name val="Arial"/>
      <family val="2"/>
    </font>
    <font>
      <i/>
      <sz val="12"/>
      <color indexed="61"/>
      <name val="Arial"/>
      <family val="2"/>
    </font>
    <font>
      <i/>
      <sz val="12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4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right" vertical="center"/>
      <protection/>
    </xf>
    <xf numFmtId="4" fontId="9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0" fillId="34" borderId="33" xfId="0" applyNumberFormat="1" applyFont="1" applyFill="1" applyBorder="1" applyAlignment="1" applyProtection="1">
      <alignment horizontal="left" vertical="center"/>
      <protection/>
    </xf>
    <xf numFmtId="49" fontId="11" fillId="35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4" fillId="34" borderId="13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0" fillId="34" borderId="13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right" vertical="center"/>
      <protection/>
    </xf>
    <xf numFmtId="49" fontId="15" fillId="35" borderId="18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3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righ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3" fillId="33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" fontId="5" fillId="0" borderId="45" xfId="0" applyNumberFormat="1" applyFont="1" applyFill="1" applyBorder="1" applyAlignment="1" applyProtection="1">
      <alignment horizontal="righ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righ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8" xfId="0" applyNumberFormat="1" applyFont="1" applyFill="1" applyBorder="1" applyAlignment="1" applyProtection="1">
      <alignment vertical="center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0" fontId="1" fillId="0" borderId="50" xfId="0" applyNumberFormat="1" applyFont="1" applyFill="1" applyBorder="1" applyAlignment="1" applyProtection="1">
      <alignment vertical="center"/>
      <protection/>
    </xf>
    <xf numFmtId="4" fontId="4" fillId="33" borderId="51" xfId="0" applyNumberFormat="1" applyFont="1" applyFill="1" applyBorder="1" applyAlignment="1" applyProtection="1">
      <alignment horizontal="right" vertical="center"/>
      <protection/>
    </xf>
    <xf numFmtId="4" fontId="4" fillId="33" borderId="52" xfId="0" applyNumberFormat="1" applyFont="1" applyFill="1" applyBorder="1" applyAlignment="1" applyProtection="1">
      <alignment horizontal="right" vertical="center"/>
      <protection/>
    </xf>
    <xf numFmtId="4" fontId="4" fillId="33" borderId="53" xfId="0" applyNumberFormat="1" applyFont="1" applyFill="1" applyBorder="1" applyAlignment="1" applyProtection="1">
      <alignment horizontal="right" vertical="center"/>
      <protection/>
    </xf>
    <xf numFmtId="4" fontId="1" fillId="36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54" xfId="0" applyNumberFormat="1" applyFont="1" applyFill="1" applyBorder="1" applyAlignment="1" applyProtection="1">
      <alignment vertical="center"/>
      <protection/>
    </xf>
    <xf numFmtId="4" fontId="1" fillId="0" borderId="45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1" fillId="0" borderId="56" xfId="0" applyNumberFormat="1" applyFont="1" applyFill="1" applyBorder="1" applyAlignment="1" applyProtection="1">
      <alignment vertical="center"/>
      <protection/>
    </xf>
    <xf numFmtId="4" fontId="60" fillId="0" borderId="13" xfId="0" applyNumberFormat="1" applyFont="1" applyFill="1" applyBorder="1" applyAlignment="1" applyProtection="1">
      <alignment horizontal="right" vertical="center"/>
      <protection/>
    </xf>
    <xf numFmtId="4" fontId="60" fillId="0" borderId="0" xfId="0" applyNumberFormat="1" applyFont="1" applyFill="1" applyBorder="1" applyAlignment="1" applyProtection="1">
      <alignment horizontal="right" vertical="center"/>
      <protection/>
    </xf>
    <xf numFmtId="4" fontId="60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57" xfId="0" applyNumberFormat="1" applyFont="1" applyFill="1" applyBorder="1" applyAlignment="1" applyProtection="1">
      <alignment horizontal="left" vertical="center"/>
      <protection/>
    </xf>
    <xf numFmtId="4" fontId="1" fillId="0" borderId="58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" fontId="1" fillId="0" borderId="59" xfId="0" applyNumberFormat="1" applyFont="1" applyFill="1" applyBorder="1" applyAlignment="1" applyProtection="1">
      <alignment horizontal="righ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4" fontId="1" fillId="0" borderId="50" xfId="0" applyNumberFormat="1" applyFont="1" applyFill="1" applyBorder="1" applyAlignment="1" applyProtection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59" xfId="0" applyFont="1" applyBorder="1" applyAlignment="1">
      <alignment vertical="center"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18" xfId="0" applyNumberFormat="1" applyFont="1" applyFill="1" applyBorder="1" applyAlignment="1" applyProtection="1">
      <alignment horizontal="right" vertical="center"/>
      <protection/>
    </xf>
    <xf numFmtId="49" fontId="18" fillId="35" borderId="19" xfId="0" applyNumberFormat="1" applyFont="1" applyFill="1" applyBorder="1" applyAlignment="1" applyProtection="1">
      <alignment horizontal="left" vertical="center"/>
      <protection/>
    </xf>
    <xf numFmtId="49" fontId="19" fillId="35" borderId="0" xfId="0" applyNumberFormat="1" applyFont="1" applyFill="1" applyBorder="1" applyAlignment="1" applyProtection="1">
      <alignment horizontal="left" vertical="center"/>
      <protection/>
    </xf>
    <xf numFmtId="49" fontId="18" fillId="35" borderId="0" xfId="0" applyNumberFormat="1" applyFont="1" applyFill="1" applyBorder="1" applyAlignment="1" applyProtection="1">
      <alignment horizontal="left" vertical="center"/>
      <protection/>
    </xf>
    <xf numFmtId="4" fontId="19" fillId="35" borderId="0" xfId="0" applyNumberFormat="1" applyFont="1" applyFill="1" applyBorder="1" applyAlignment="1" applyProtection="1">
      <alignment horizontal="right" vertical="center"/>
      <protection/>
    </xf>
    <xf numFmtId="49" fontId="19" fillId="35" borderId="0" xfId="0" applyNumberFormat="1" applyFont="1" applyFill="1" applyBorder="1" applyAlignment="1" applyProtection="1">
      <alignment horizontal="right" vertical="center"/>
      <protection/>
    </xf>
    <xf numFmtId="49" fontId="19" fillId="35" borderId="18" xfId="0" applyNumberFormat="1" applyFont="1" applyFill="1" applyBorder="1" applyAlignment="1" applyProtection="1">
      <alignment horizontal="right" vertical="center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18" xfId="0" applyNumberFormat="1" applyFont="1" applyFill="1" applyBorder="1" applyAlignment="1" applyProtection="1">
      <alignment horizontal="righ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49" fontId="17" fillId="0" borderId="60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35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" fontId="17" fillId="36" borderId="0" xfId="0" applyNumberFormat="1" applyFont="1" applyFill="1" applyBorder="1" applyAlignment="1" applyProtection="1">
      <alignment horizontal="right" vertical="center"/>
      <protection locked="0"/>
    </xf>
    <xf numFmtId="4" fontId="20" fillId="36" borderId="0" xfId="0" applyNumberFormat="1" applyFont="1" applyFill="1" applyBorder="1" applyAlignment="1" applyProtection="1">
      <alignment horizontal="right" vertical="center"/>
      <protection locked="0"/>
    </xf>
    <xf numFmtId="4" fontId="17" fillId="36" borderId="10" xfId="0" applyNumberFormat="1" applyFont="1" applyFill="1" applyBorder="1" applyAlignment="1" applyProtection="1">
      <alignment horizontal="right" vertical="center"/>
      <protection locked="0"/>
    </xf>
    <xf numFmtId="4" fontId="61" fillId="0" borderId="0" xfId="0" applyNumberFormat="1" applyFont="1" applyFill="1" applyBorder="1" applyAlignment="1" applyProtection="1">
      <alignment horizontal="right" vertical="center"/>
      <protection/>
    </xf>
    <xf numFmtId="49" fontId="60" fillId="35" borderId="0" xfId="0" applyNumberFormat="1" applyFont="1" applyFill="1" applyBorder="1" applyAlignment="1" applyProtection="1">
      <alignment horizontal="left" vertical="center"/>
      <protection/>
    </xf>
    <xf numFmtId="4" fontId="61" fillId="0" borderId="10" xfId="0" applyNumberFormat="1" applyFont="1" applyFill="1" applyBorder="1" applyAlignment="1" applyProtection="1">
      <alignment horizontal="right" vertical="center"/>
      <protection/>
    </xf>
    <xf numFmtId="49" fontId="19" fillId="35" borderId="33" xfId="0" applyNumberFormat="1" applyFont="1" applyFill="1" applyBorder="1" applyAlignment="1" applyProtection="1">
      <alignment horizontal="left" vertical="center"/>
      <protection/>
    </xf>
    <xf numFmtId="49" fontId="19" fillId="35" borderId="13" xfId="0" applyNumberFormat="1" applyFont="1" applyFill="1" applyBorder="1" applyAlignment="1" applyProtection="1">
      <alignment horizontal="left" vertical="center"/>
      <protection/>
    </xf>
    <xf numFmtId="49" fontId="19" fillId="35" borderId="13" xfId="0" applyNumberFormat="1" applyFont="1" applyFill="1" applyBorder="1" applyAlignment="1" applyProtection="1">
      <alignment horizontal="right" vertical="center"/>
      <protection/>
    </xf>
    <xf numFmtId="49" fontId="19" fillId="35" borderId="17" xfId="0" applyNumberFormat="1" applyFont="1" applyFill="1" applyBorder="1" applyAlignment="1" applyProtection="1">
      <alignment horizontal="right" vertical="center"/>
      <protection/>
    </xf>
    <xf numFmtId="4" fontId="17" fillId="0" borderId="18" xfId="0" applyNumberFormat="1" applyFont="1" applyFill="1" applyBorder="1" applyAlignment="1" applyProtection="1">
      <alignment horizontal="righ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19" fillId="35" borderId="19" xfId="0" applyNumberFormat="1" applyFont="1" applyFill="1" applyBorder="1" applyAlignment="1" applyProtection="1">
      <alignment horizontal="left" vertical="center"/>
      <protection/>
    </xf>
    <xf numFmtId="4" fontId="20" fillId="0" borderId="18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51" xfId="0" applyNumberFormat="1" applyFont="1" applyFill="1" applyBorder="1" applyAlignment="1" applyProtection="1">
      <alignment horizontal="left" vertical="center"/>
      <protection/>
    </xf>
    <xf numFmtId="49" fontId="5" fillId="0" borderId="64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62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64" xfId="0" applyNumberFormat="1" applyFont="1" applyFill="1" applyBorder="1" applyAlignment="1" applyProtection="1">
      <alignment horizontal="left" vertical="center"/>
      <protection/>
    </xf>
    <xf numFmtId="49" fontId="4" fillId="33" borderId="62" xfId="0" applyNumberFormat="1" applyFont="1" applyFill="1" applyBorder="1" applyAlignment="1" applyProtection="1">
      <alignment horizontal="left" vertical="center"/>
      <protection/>
    </xf>
    <xf numFmtId="0" fontId="4" fillId="33" borderId="63" xfId="0" applyNumberFormat="1" applyFont="1" applyFill="1" applyBorder="1" applyAlignment="1" applyProtection="1">
      <alignment horizontal="left" vertical="center"/>
      <protection/>
    </xf>
    <xf numFmtId="49" fontId="4" fillId="33" borderId="64" xfId="0" applyNumberFormat="1" applyFont="1" applyFill="1" applyBorder="1" applyAlignment="1" applyProtection="1">
      <alignment horizontal="left" vertical="center"/>
      <protection/>
    </xf>
    <xf numFmtId="49" fontId="4" fillId="33" borderId="65" xfId="0" applyNumberFormat="1" applyFont="1" applyFill="1" applyBorder="1" applyAlignment="1" applyProtection="1">
      <alignment horizontal="left" vertical="center"/>
      <protection/>
    </xf>
    <xf numFmtId="0" fontId="4" fillId="33" borderId="66" xfId="0" applyNumberFormat="1" applyFont="1" applyFill="1" applyBorder="1" applyAlignment="1" applyProtection="1">
      <alignment horizontal="left" vertical="center"/>
      <protection/>
    </xf>
    <xf numFmtId="49" fontId="4" fillId="33" borderId="67" xfId="0" applyNumberFormat="1" applyFont="1" applyFill="1" applyBorder="1" applyAlignment="1" applyProtection="1">
      <alignment horizontal="left" vertical="center"/>
      <protection/>
    </xf>
    <xf numFmtId="49" fontId="5" fillId="0" borderId="5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58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9" xfId="0" applyNumberFormat="1" applyFont="1" applyFill="1" applyBorder="1" applyAlignment="1" applyProtection="1">
      <alignment horizontal="left" vertical="center"/>
      <protection/>
    </xf>
    <xf numFmtId="49" fontId="5" fillId="0" borderId="6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54" xfId="0" applyNumberFormat="1" applyFont="1" applyFill="1" applyBorder="1" applyAlignment="1" applyProtection="1">
      <alignment horizontal="left" vertical="center"/>
      <protection/>
    </xf>
    <xf numFmtId="49" fontId="4" fillId="0" borderId="68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63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65" xfId="0" applyNumberFormat="1" applyFont="1" applyFill="1" applyBorder="1" applyAlignment="1" applyProtection="1">
      <alignment horizontal="left" vertical="center"/>
      <protection/>
    </xf>
    <xf numFmtId="0" fontId="1" fillId="0" borderId="66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1" fillId="0" borderId="62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6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9" fillId="0" borderId="69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68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36" borderId="12" xfId="0" applyNumberFormat="1" applyFont="1" applyFill="1" applyBorder="1" applyAlignment="1" applyProtection="1">
      <alignment horizontal="left" vertical="center"/>
      <protection locked="0"/>
    </xf>
    <xf numFmtId="0" fontId="1" fillId="36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6" borderId="0" xfId="0" applyNumberFormat="1" applyFont="1" applyFill="1" applyBorder="1" applyAlignment="1" applyProtection="1">
      <alignment horizontal="left" vertical="center"/>
      <protection locked="0"/>
    </xf>
    <xf numFmtId="0" fontId="1" fillId="36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69" xfId="0" applyNumberFormat="1" applyFont="1" applyFill="1" applyBorder="1" applyAlignment="1" applyProtection="1">
      <alignment horizontal="left" vertical="center"/>
      <protection/>
    </xf>
    <xf numFmtId="0" fontId="1" fillId="36" borderId="23" xfId="0" applyNumberFormat="1" applyFont="1" applyFill="1" applyBorder="1" applyAlignment="1" applyProtection="1">
      <alignment horizontal="left" vertical="center"/>
      <protection locked="0"/>
    </xf>
    <xf numFmtId="0" fontId="1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71" xfId="0" applyNumberFormat="1" applyFont="1" applyFill="1" applyBorder="1" applyAlignment="1" applyProtection="1">
      <alignment horizontal="left" vertical="center"/>
      <protection locked="0"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49" fontId="62" fillId="0" borderId="69" xfId="0" applyNumberFormat="1" applyFont="1" applyBorder="1" applyAlignment="1">
      <alignment horizontal="left" vertical="center"/>
    </xf>
    <xf numFmtId="0" fontId="62" fillId="0" borderId="71" xfId="0" applyFont="1" applyBorder="1" applyAlignment="1">
      <alignment horizontal="left" vertical="center"/>
    </xf>
    <xf numFmtId="49" fontId="14" fillId="34" borderId="13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19" fillId="35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71" xfId="0" applyNumberFormat="1" applyFont="1" applyFill="1" applyBorder="1" applyAlignment="1" applyProtection="1">
      <alignment horizontal="left" vertical="center"/>
      <protection/>
    </xf>
    <xf numFmtId="49" fontId="9" fillId="0" borderId="72" xfId="0" applyNumberFormat="1" applyFont="1" applyFill="1" applyBorder="1" applyAlignment="1" applyProtection="1">
      <alignment horizontal="left" vertical="center"/>
      <protection/>
    </xf>
    <xf numFmtId="0" fontId="9" fillId="0" borderId="73" xfId="0" applyNumberFormat="1" applyFont="1" applyFill="1" applyBorder="1" applyAlignment="1" applyProtection="1">
      <alignment horizontal="left" vertical="center"/>
      <protection/>
    </xf>
    <xf numFmtId="49" fontId="19" fillId="35" borderId="13" xfId="0" applyNumberFormat="1" applyFont="1" applyFill="1" applyBorder="1" applyAlignment="1" applyProtection="1">
      <alignment horizontal="left" vertical="center"/>
      <protection/>
    </xf>
    <xf numFmtId="0" fontId="19" fillId="35" borderId="13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19" fillId="35" borderId="0" xfId="0" applyNumberFormat="1" applyFont="1" applyFill="1" applyBorder="1" applyAlignment="1" applyProtection="1">
      <alignment horizontal="left" vertical="center"/>
      <protection/>
    </xf>
    <xf numFmtId="0" fontId="19" fillId="35" borderId="0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2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10.7109375" style="0" customWidth="1"/>
    <col min="8" max="8" width="16.28125" style="0" customWidth="1"/>
    <col min="9" max="9" width="22.8515625" style="0" customWidth="1"/>
  </cols>
  <sheetData>
    <row r="1" spans="1:9" ht="72.75" customHeight="1">
      <c r="A1" s="75"/>
      <c r="B1" s="76"/>
      <c r="C1" s="152" t="s">
        <v>22</v>
      </c>
      <c r="D1" s="153"/>
      <c r="E1" s="153"/>
      <c r="F1" s="153"/>
      <c r="G1" s="153"/>
      <c r="H1" s="153"/>
      <c r="I1" s="154"/>
    </row>
    <row r="2" spans="1:10" ht="12">
      <c r="A2" s="155" t="s">
        <v>0</v>
      </c>
      <c r="B2" s="156"/>
      <c r="C2" s="159" t="str">
        <f>'Stavební rozpočet'!D2</f>
        <v>ZŠ RAKOVSKÉHO  rozšíření jídelny</v>
      </c>
      <c r="D2" s="160"/>
      <c r="E2" s="162" t="s">
        <v>32</v>
      </c>
      <c r="F2" s="162" t="str">
        <f>'Stavební rozpočet'!J2</f>
        <v> </v>
      </c>
      <c r="G2" s="156"/>
      <c r="H2" s="162" t="s">
        <v>52</v>
      </c>
      <c r="I2" s="163"/>
      <c r="J2" s="74"/>
    </row>
    <row r="3" spans="1:10" ht="12">
      <c r="A3" s="157"/>
      <c r="B3" s="158"/>
      <c r="C3" s="161"/>
      <c r="D3" s="161"/>
      <c r="E3" s="158"/>
      <c r="F3" s="158"/>
      <c r="G3" s="158"/>
      <c r="H3" s="158"/>
      <c r="I3" s="164"/>
      <c r="J3" s="74"/>
    </row>
    <row r="4" spans="1:10" ht="12">
      <c r="A4" s="165" t="s">
        <v>1</v>
      </c>
      <c r="B4" s="158"/>
      <c r="C4" s="166" t="str">
        <f>'Stavební rozpočet'!D4</f>
        <v>rekonstrukce a oprava</v>
      </c>
      <c r="D4" s="158"/>
      <c r="E4" s="166" t="s">
        <v>33</v>
      </c>
      <c r="F4" s="166" t="str">
        <f>'Stavební rozpočet'!J4</f>
        <v>MIKRO PRAHA spol. s.r.o.</v>
      </c>
      <c r="G4" s="158"/>
      <c r="H4" s="166" t="s">
        <v>52</v>
      </c>
      <c r="I4" s="167" t="s">
        <v>56</v>
      </c>
      <c r="J4" s="74"/>
    </row>
    <row r="5" spans="1:10" ht="12">
      <c r="A5" s="157"/>
      <c r="B5" s="158"/>
      <c r="C5" s="158"/>
      <c r="D5" s="158"/>
      <c r="E5" s="158"/>
      <c r="F5" s="158"/>
      <c r="G5" s="158"/>
      <c r="H5" s="158"/>
      <c r="I5" s="164"/>
      <c r="J5" s="74"/>
    </row>
    <row r="6" spans="1:10" ht="12">
      <c r="A6" s="165" t="s">
        <v>2</v>
      </c>
      <c r="B6" s="158"/>
      <c r="C6" s="166" t="str">
        <f>'Stavební rozpočet'!D6</f>
        <v>RAKOVSKÉHO 3136/1, PRAHA 12</v>
      </c>
      <c r="D6" s="158"/>
      <c r="E6" s="166" t="s">
        <v>34</v>
      </c>
      <c r="F6" s="166" t="str">
        <f>'Stavební rozpočet'!J6</f>
        <v> </v>
      </c>
      <c r="G6" s="158"/>
      <c r="H6" s="166" t="s">
        <v>52</v>
      </c>
      <c r="I6" s="167"/>
      <c r="J6" s="74"/>
    </row>
    <row r="7" spans="1:10" ht="12">
      <c r="A7" s="157"/>
      <c r="B7" s="158"/>
      <c r="C7" s="158"/>
      <c r="D7" s="158"/>
      <c r="E7" s="158"/>
      <c r="F7" s="158"/>
      <c r="G7" s="158"/>
      <c r="H7" s="158"/>
      <c r="I7" s="164"/>
      <c r="J7" s="74"/>
    </row>
    <row r="8" spans="1:10" ht="12">
      <c r="A8" s="165" t="s">
        <v>3</v>
      </c>
      <c r="B8" s="158"/>
      <c r="C8" s="166" t="str">
        <f>'Stavební rozpočet'!H4</f>
        <v> </v>
      </c>
      <c r="D8" s="158"/>
      <c r="E8" s="166" t="s">
        <v>35</v>
      </c>
      <c r="F8" s="166" t="str">
        <f>'Stavební rozpočet'!H6</f>
        <v> </v>
      </c>
      <c r="G8" s="158"/>
      <c r="H8" s="168" t="s">
        <v>53</v>
      </c>
      <c r="I8" s="167" t="s">
        <v>57</v>
      </c>
      <c r="J8" s="74"/>
    </row>
    <row r="9" spans="1:10" ht="12">
      <c r="A9" s="157"/>
      <c r="B9" s="158"/>
      <c r="C9" s="158"/>
      <c r="D9" s="158"/>
      <c r="E9" s="158"/>
      <c r="F9" s="158"/>
      <c r="G9" s="158"/>
      <c r="H9" s="158"/>
      <c r="I9" s="164"/>
      <c r="J9" s="74"/>
    </row>
    <row r="10" spans="1:10" ht="12">
      <c r="A10" s="165" t="s">
        <v>4</v>
      </c>
      <c r="B10" s="158"/>
      <c r="C10" s="166" t="str">
        <f>'Stavební rozpočet'!D8</f>
        <v> </v>
      </c>
      <c r="D10" s="158"/>
      <c r="E10" s="166" t="s">
        <v>36</v>
      </c>
      <c r="F10" s="166">
        <f>'Stavební rozpočet'!J8</f>
        <v>0</v>
      </c>
      <c r="G10" s="158"/>
      <c r="H10" s="168" t="s">
        <v>54</v>
      </c>
      <c r="I10" s="171" t="str">
        <f>'Stavební rozpočet'!H8</f>
        <v>0</v>
      </c>
      <c r="J10" s="74"/>
    </row>
    <row r="11" spans="1:10" ht="12">
      <c r="A11" s="169"/>
      <c r="B11" s="170"/>
      <c r="C11" s="170"/>
      <c r="D11" s="170"/>
      <c r="E11" s="170"/>
      <c r="F11" s="170"/>
      <c r="G11" s="170"/>
      <c r="H11" s="170"/>
      <c r="I11" s="172"/>
      <c r="J11" s="74"/>
    </row>
    <row r="12" spans="1:9" ht="23.25" customHeight="1">
      <c r="A12" s="173" t="s">
        <v>5</v>
      </c>
      <c r="B12" s="174"/>
      <c r="C12" s="174"/>
      <c r="D12" s="174"/>
      <c r="E12" s="174"/>
      <c r="F12" s="174"/>
      <c r="G12" s="174"/>
      <c r="H12" s="174"/>
      <c r="I12" s="175"/>
    </row>
    <row r="13" spans="1:10" ht="26.25" customHeight="1">
      <c r="A13" s="77" t="s">
        <v>6</v>
      </c>
      <c r="B13" s="176" t="s">
        <v>19</v>
      </c>
      <c r="C13" s="177"/>
      <c r="D13" s="2" t="s">
        <v>23</v>
      </c>
      <c r="E13" s="176" t="s">
        <v>37</v>
      </c>
      <c r="F13" s="177"/>
      <c r="G13" s="2" t="s">
        <v>38</v>
      </c>
      <c r="H13" s="176" t="s">
        <v>55</v>
      </c>
      <c r="I13" s="178"/>
      <c r="J13" s="74"/>
    </row>
    <row r="14" spans="1:10" ht="15" customHeight="1">
      <c r="A14" s="78" t="s">
        <v>7</v>
      </c>
      <c r="B14" s="5" t="s">
        <v>20</v>
      </c>
      <c r="C14" s="9">
        <f>SUM('Stavební rozpočet'!AB12:AB144)</f>
        <v>0</v>
      </c>
      <c r="D14" s="179" t="s">
        <v>24</v>
      </c>
      <c r="E14" s="180"/>
      <c r="F14" s="9">
        <f>VORN!I15</f>
        <v>0</v>
      </c>
      <c r="G14" s="179" t="s">
        <v>39</v>
      </c>
      <c r="H14" s="180"/>
      <c r="I14" s="79">
        <f>VORN!I21</f>
        <v>0</v>
      </c>
      <c r="J14" s="74"/>
    </row>
    <row r="15" spans="1:10" ht="15" customHeight="1">
      <c r="A15" s="80"/>
      <c r="B15" s="5" t="s">
        <v>21</v>
      </c>
      <c r="C15" s="9">
        <f>SUM('Stavební rozpočet'!AC12:AC144)</f>
        <v>0</v>
      </c>
      <c r="D15" s="179" t="s">
        <v>25</v>
      </c>
      <c r="E15" s="180"/>
      <c r="F15" s="9">
        <f>VORN!I16</f>
        <v>0</v>
      </c>
      <c r="G15" s="179" t="s">
        <v>40</v>
      </c>
      <c r="H15" s="180"/>
      <c r="I15" s="79">
        <f>VORN!I22</f>
        <v>0</v>
      </c>
      <c r="J15" s="74"/>
    </row>
    <row r="16" spans="1:10" ht="15" customHeight="1">
      <c r="A16" s="78" t="s">
        <v>8</v>
      </c>
      <c r="B16" s="5" t="s">
        <v>20</v>
      </c>
      <c r="C16" s="9">
        <f>SUM('Stavební rozpočet'!AD12:AD144)</f>
        <v>0</v>
      </c>
      <c r="D16" s="179" t="s">
        <v>26</v>
      </c>
      <c r="E16" s="180"/>
      <c r="F16" s="9">
        <f>VORN!I17</f>
        <v>0</v>
      </c>
      <c r="G16" s="179" t="s">
        <v>41</v>
      </c>
      <c r="H16" s="180"/>
      <c r="I16" s="79">
        <f>VORN!I23</f>
        <v>0</v>
      </c>
      <c r="J16" s="74"/>
    </row>
    <row r="17" spans="1:10" ht="15" customHeight="1">
      <c r="A17" s="80"/>
      <c r="B17" s="5" t="s">
        <v>21</v>
      </c>
      <c r="C17" s="9">
        <f>SUM('Stavební rozpočet'!AE12:AE144)</f>
        <v>0</v>
      </c>
      <c r="D17" s="179"/>
      <c r="E17" s="180"/>
      <c r="F17" s="10"/>
      <c r="G17" s="179" t="s">
        <v>42</v>
      </c>
      <c r="H17" s="180"/>
      <c r="I17" s="79">
        <f>VORN!I24</f>
        <v>0</v>
      </c>
      <c r="J17" s="74"/>
    </row>
    <row r="18" spans="1:10" ht="15" customHeight="1">
      <c r="A18" s="78" t="s">
        <v>9</v>
      </c>
      <c r="B18" s="5" t="s">
        <v>20</v>
      </c>
      <c r="C18" s="9">
        <f>SUM('Stavební rozpočet'!AF12:AF144)</f>
        <v>0</v>
      </c>
      <c r="D18" s="179"/>
      <c r="E18" s="180"/>
      <c r="F18" s="10"/>
      <c r="G18" s="179" t="s">
        <v>43</v>
      </c>
      <c r="H18" s="180"/>
      <c r="I18" s="79">
        <f>VORN!I25</f>
        <v>0</v>
      </c>
      <c r="J18" s="74"/>
    </row>
    <row r="19" spans="1:10" ht="15" customHeight="1">
      <c r="A19" s="80"/>
      <c r="B19" s="5" t="s">
        <v>21</v>
      </c>
      <c r="C19" s="9">
        <f>SUM('Stavební rozpočet'!AG12:AG144)</f>
        <v>0</v>
      </c>
      <c r="D19" s="179"/>
      <c r="E19" s="180"/>
      <c r="F19" s="10"/>
      <c r="G19" s="179" t="s">
        <v>44</v>
      </c>
      <c r="H19" s="180"/>
      <c r="I19" s="79">
        <f>VORN!I26</f>
        <v>0</v>
      </c>
      <c r="J19" s="74"/>
    </row>
    <row r="20" spans="1:10" ht="15" customHeight="1">
      <c r="A20" s="181" t="s">
        <v>10</v>
      </c>
      <c r="B20" s="182"/>
      <c r="C20" s="9">
        <f>SUM('Stavební rozpočet'!AH12:AH144)</f>
        <v>0</v>
      </c>
      <c r="D20" s="179"/>
      <c r="E20" s="180"/>
      <c r="F20" s="10"/>
      <c r="G20" s="179"/>
      <c r="H20" s="180"/>
      <c r="I20" s="81"/>
      <c r="J20" s="74"/>
    </row>
    <row r="21" spans="1:10" ht="15" customHeight="1">
      <c r="A21" s="181" t="s">
        <v>11</v>
      </c>
      <c r="B21" s="182"/>
      <c r="C21" s="9">
        <f>SUM('Stavební rozpočet'!Z12:Z144)</f>
        <v>0</v>
      </c>
      <c r="D21" s="179"/>
      <c r="E21" s="180"/>
      <c r="F21" s="10"/>
      <c r="G21" s="179"/>
      <c r="H21" s="180"/>
      <c r="I21" s="81"/>
      <c r="J21" s="74"/>
    </row>
    <row r="22" spans="1:10" ht="16.5" customHeight="1">
      <c r="A22" s="181" t="s">
        <v>12</v>
      </c>
      <c r="B22" s="182"/>
      <c r="C22" s="9">
        <f>SUM(C14:C21)</f>
        <v>0</v>
      </c>
      <c r="D22" s="183" t="s">
        <v>27</v>
      </c>
      <c r="E22" s="182"/>
      <c r="F22" s="9">
        <f>SUM(F14:F21)</f>
        <v>0</v>
      </c>
      <c r="G22" s="183" t="s">
        <v>45</v>
      </c>
      <c r="H22" s="182"/>
      <c r="I22" s="79">
        <f>SUM(I14:I21)</f>
        <v>0</v>
      </c>
      <c r="J22" s="74"/>
    </row>
    <row r="23" spans="1:10" ht="15" customHeight="1" thickBot="1">
      <c r="A23" s="82"/>
      <c r="B23" s="3"/>
      <c r="C23" s="7"/>
      <c r="D23" s="183" t="s">
        <v>28</v>
      </c>
      <c r="E23" s="182"/>
      <c r="F23" s="11">
        <v>0</v>
      </c>
      <c r="G23" s="183" t="s">
        <v>46</v>
      </c>
      <c r="H23" s="182"/>
      <c r="I23" s="79">
        <v>0</v>
      </c>
      <c r="J23" s="74"/>
    </row>
    <row r="24" spans="1:10" ht="15" customHeight="1">
      <c r="A24" s="83"/>
      <c r="B24" s="84"/>
      <c r="C24" s="84"/>
      <c r="D24" s="3"/>
      <c r="E24" s="3"/>
      <c r="F24" s="12"/>
      <c r="G24" s="183" t="s">
        <v>47</v>
      </c>
      <c r="H24" s="182"/>
      <c r="I24" s="79">
        <f>vorn_sum</f>
        <v>0</v>
      </c>
      <c r="J24" s="74"/>
    </row>
    <row r="25" spans="1:10" ht="15" customHeight="1">
      <c r="A25" s="83"/>
      <c r="B25" s="84"/>
      <c r="C25" s="84"/>
      <c r="D25" s="84"/>
      <c r="E25" s="84"/>
      <c r="F25" s="13"/>
      <c r="G25" s="183" t="s">
        <v>48</v>
      </c>
      <c r="H25" s="182"/>
      <c r="I25" s="79">
        <v>0</v>
      </c>
      <c r="J25" s="74"/>
    </row>
    <row r="26" spans="1:9" ht="12">
      <c r="A26" s="85"/>
      <c r="B26" s="1"/>
      <c r="C26" s="1"/>
      <c r="D26" s="84"/>
      <c r="E26" s="84"/>
      <c r="F26" s="84"/>
      <c r="G26" s="3"/>
      <c r="H26" s="3"/>
      <c r="I26" s="86"/>
    </row>
    <row r="27" spans="1:9" ht="15" customHeight="1">
      <c r="A27" s="184" t="s">
        <v>13</v>
      </c>
      <c r="B27" s="185"/>
      <c r="C27" s="17">
        <f>SUM('Stavební rozpočet'!AJ12:AJ144)</f>
        <v>0</v>
      </c>
      <c r="D27" s="8"/>
      <c r="E27" s="1"/>
      <c r="F27" s="1"/>
      <c r="G27" s="1"/>
      <c r="H27" s="1"/>
      <c r="I27" s="87"/>
    </row>
    <row r="28" spans="1:10" ht="15" customHeight="1">
      <c r="A28" s="184" t="s">
        <v>14</v>
      </c>
      <c r="B28" s="185"/>
      <c r="C28" s="17">
        <f>SUM('Stavební rozpočet'!AK12:AK144)</f>
        <v>0</v>
      </c>
      <c r="D28" s="186" t="s">
        <v>29</v>
      </c>
      <c r="E28" s="185"/>
      <c r="F28" s="17">
        <f>ROUND(C28*(15/100),2)</f>
        <v>0</v>
      </c>
      <c r="G28" s="186" t="s">
        <v>49</v>
      </c>
      <c r="H28" s="185"/>
      <c r="I28" s="88">
        <f>SUM(C27:C29)</f>
        <v>0</v>
      </c>
      <c r="J28" s="74"/>
    </row>
    <row r="29" spans="1:10" ht="15" customHeight="1" thickBot="1">
      <c r="A29" s="187" t="s">
        <v>15</v>
      </c>
      <c r="B29" s="188"/>
      <c r="C29" s="89">
        <f>SUM('Stavební rozpočet'!AL12:AL144)+(F22+I22+F23+I23+I24+I25)</f>
        <v>0</v>
      </c>
      <c r="D29" s="189" t="s">
        <v>30</v>
      </c>
      <c r="E29" s="188"/>
      <c r="F29" s="89">
        <f>ROUND(C29*(21/100),2)</f>
        <v>0</v>
      </c>
      <c r="G29" s="189" t="s">
        <v>50</v>
      </c>
      <c r="H29" s="188"/>
      <c r="I29" s="90">
        <f>SUM(F28:F29)+I28</f>
        <v>0</v>
      </c>
      <c r="J29" s="74"/>
    </row>
    <row r="30" spans="1:9" ht="12.75" thickBot="1">
      <c r="A30" s="19"/>
      <c r="B30" s="19"/>
      <c r="C30" s="19"/>
      <c r="D30" s="19"/>
      <c r="E30" s="19"/>
      <c r="F30" s="19"/>
      <c r="G30" s="19"/>
      <c r="H30" s="19"/>
      <c r="I30" s="19"/>
    </row>
    <row r="31" spans="1:10" ht="14.25" customHeight="1">
      <c r="A31" s="190" t="s">
        <v>16</v>
      </c>
      <c r="B31" s="191"/>
      <c r="C31" s="192"/>
      <c r="D31" s="190" t="s">
        <v>31</v>
      </c>
      <c r="E31" s="191"/>
      <c r="F31" s="192"/>
      <c r="G31" s="190" t="s">
        <v>51</v>
      </c>
      <c r="H31" s="191"/>
      <c r="I31" s="192"/>
      <c r="J31" s="16"/>
    </row>
    <row r="32" spans="1:10" ht="14.25" customHeight="1">
      <c r="A32" s="193"/>
      <c r="B32" s="194"/>
      <c r="C32" s="195"/>
      <c r="D32" s="193"/>
      <c r="E32" s="194"/>
      <c r="F32" s="195"/>
      <c r="G32" s="193"/>
      <c r="H32" s="194"/>
      <c r="I32" s="195"/>
      <c r="J32" s="16"/>
    </row>
    <row r="33" spans="1:10" ht="14.25" customHeight="1">
      <c r="A33" s="193"/>
      <c r="B33" s="194"/>
      <c r="C33" s="195"/>
      <c r="D33" s="193"/>
      <c r="E33" s="194"/>
      <c r="F33" s="195"/>
      <c r="G33" s="193"/>
      <c r="H33" s="194"/>
      <c r="I33" s="195"/>
      <c r="J33" s="16"/>
    </row>
    <row r="34" spans="1:10" ht="14.25" customHeight="1">
      <c r="A34" s="193"/>
      <c r="B34" s="194"/>
      <c r="C34" s="195"/>
      <c r="D34" s="193"/>
      <c r="E34" s="194"/>
      <c r="F34" s="195"/>
      <c r="G34" s="193"/>
      <c r="H34" s="194"/>
      <c r="I34" s="195"/>
      <c r="J34" s="16"/>
    </row>
    <row r="35" spans="1:10" ht="14.25" customHeight="1">
      <c r="A35" s="196" t="s">
        <v>17</v>
      </c>
      <c r="B35" s="197"/>
      <c r="C35" s="198"/>
      <c r="D35" s="196" t="s">
        <v>17</v>
      </c>
      <c r="E35" s="197"/>
      <c r="F35" s="198"/>
      <c r="G35" s="196" t="s">
        <v>17</v>
      </c>
      <c r="H35" s="197"/>
      <c r="I35" s="198"/>
      <c r="J35" s="16"/>
    </row>
    <row r="36" spans="1:9" ht="11.25" customHeight="1">
      <c r="A36" s="4" t="s">
        <v>18</v>
      </c>
      <c r="B36" s="6"/>
      <c r="C36" s="6"/>
      <c r="D36" s="6"/>
      <c r="E36" s="6"/>
      <c r="F36" s="6"/>
      <c r="G36" s="6"/>
      <c r="H36" s="6"/>
      <c r="I36" s="6"/>
    </row>
    <row r="37" spans="1:9" ht="12">
      <c r="A37" s="166"/>
      <c r="B37" s="158"/>
      <c r="C37" s="158"/>
      <c r="D37" s="158"/>
      <c r="E37" s="158"/>
      <c r="F37" s="158"/>
      <c r="G37" s="158"/>
      <c r="H37" s="158"/>
      <c r="I37" s="15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F26" sqref="F2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20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5"/>
      <c r="B1" s="76"/>
      <c r="C1" s="152" t="s">
        <v>66</v>
      </c>
      <c r="D1" s="153"/>
      <c r="E1" s="153"/>
      <c r="F1" s="153"/>
      <c r="G1" s="153"/>
      <c r="H1" s="153"/>
      <c r="I1" s="154"/>
    </row>
    <row r="2" spans="1:10" ht="12">
      <c r="A2" s="155" t="s">
        <v>0</v>
      </c>
      <c r="B2" s="156"/>
      <c r="C2" s="159" t="str">
        <f>'Stavební rozpočet'!D2</f>
        <v>ZŠ RAKOVSKÉHO  rozšíření jídelny</v>
      </c>
      <c r="D2" s="160"/>
      <c r="E2" s="162" t="s">
        <v>32</v>
      </c>
      <c r="F2" s="162" t="str">
        <f>'Stavební rozpočet'!J2</f>
        <v> </v>
      </c>
      <c r="G2" s="156"/>
      <c r="H2" s="162" t="s">
        <v>52</v>
      </c>
      <c r="I2" s="163"/>
      <c r="J2" s="74"/>
    </row>
    <row r="3" spans="1:10" ht="12">
      <c r="A3" s="157"/>
      <c r="B3" s="158"/>
      <c r="C3" s="161"/>
      <c r="D3" s="161"/>
      <c r="E3" s="158"/>
      <c r="F3" s="158"/>
      <c r="G3" s="158"/>
      <c r="H3" s="158"/>
      <c r="I3" s="164"/>
      <c r="J3" s="74"/>
    </row>
    <row r="4" spans="1:10" ht="12">
      <c r="A4" s="165" t="s">
        <v>1</v>
      </c>
      <c r="B4" s="158"/>
      <c r="C4" s="166" t="str">
        <f>'Stavební rozpočet'!D4</f>
        <v>rekonstrukce a oprava</v>
      </c>
      <c r="D4" s="158"/>
      <c r="E4" s="166" t="s">
        <v>33</v>
      </c>
      <c r="F4" s="166" t="str">
        <f>'Stavební rozpočet'!J4</f>
        <v>MIKRO PRAHA spol. s.r.o.</v>
      </c>
      <c r="G4" s="158"/>
      <c r="H4" s="166" t="s">
        <v>52</v>
      </c>
      <c r="I4" s="167" t="s">
        <v>56</v>
      </c>
      <c r="J4" s="74"/>
    </row>
    <row r="5" spans="1:10" ht="12">
      <c r="A5" s="157"/>
      <c r="B5" s="158"/>
      <c r="C5" s="158"/>
      <c r="D5" s="158"/>
      <c r="E5" s="158"/>
      <c r="F5" s="158"/>
      <c r="G5" s="158"/>
      <c r="H5" s="158"/>
      <c r="I5" s="164"/>
      <c r="J5" s="74"/>
    </row>
    <row r="6" spans="1:10" ht="12">
      <c r="A6" s="165" t="s">
        <v>2</v>
      </c>
      <c r="B6" s="158"/>
      <c r="C6" s="166" t="str">
        <f>'Stavební rozpočet'!D6</f>
        <v>RAKOVSKÉHO 3136/1, PRAHA 12</v>
      </c>
      <c r="D6" s="158"/>
      <c r="E6" s="166" t="s">
        <v>34</v>
      </c>
      <c r="F6" s="166" t="str">
        <f>'Stavební rozpočet'!J6</f>
        <v> </v>
      </c>
      <c r="G6" s="158"/>
      <c r="H6" s="166" t="s">
        <v>52</v>
      </c>
      <c r="I6" s="167"/>
      <c r="J6" s="74"/>
    </row>
    <row r="7" spans="1:10" ht="12">
      <c r="A7" s="157"/>
      <c r="B7" s="158"/>
      <c r="C7" s="158"/>
      <c r="D7" s="158"/>
      <c r="E7" s="158"/>
      <c r="F7" s="158"/>
      <c r="G7" s="158"/>
      <c r="H7" s="158"/>
      <c r="I7" s="164"/>
      <c r="J7" s="74"/>
    </row>
    <row r="8" spans="1:10" ht="12">
      <c r="A8" s="165" t="s">
        <v>3</v>
      </c>
      <c r="B8" s="158"/>
      <c r="C8" s="166" t="str">
        <f>'Stavební rozpočet'!H4</f>
        <v> </v>
      </c>
      <c r="D8" s="158"/>
      <c r="E8" s="166" t="s">
        <v>35</v>
      </c>
      <c r="F8" s="166" t="str">
        <f>'Stavební rozpočet'!H6</f>
        <v> </v>
      </c>
      <c r="G8" s="158"/>
      <c r="H8" s="168" t="s">
        <v>53</v>
      </c>
      <c r="I8" s="167" t="s">
        <v>57</v>
      </c>
      <c r="J8" s="74"/>
    </row>
    <row r="9" spans="1:10" ht="12">
      <c r="A9" s="157"/>
      <c r="B9" s="158"/>
      <c r="C9" s="158"/>
      <c r="D9" s="158"/>
      <c r="E9" s="158"/>
      <c r="F9" s="158"/>
      <c r="G9" s="158"/>
      <c r="H9" s="158"/>
      <c r="I9" s="164"/>
      <c r="J9" s="74"/>
    </row>
    <row r="10" spans="1:10" ht="12">
      <c r="A10" s="165" t="s">
        <v>4</v>
      </c>
      <c r="B10" s="158"/>
      <c r="C10" s="166" t="str">
        <f>'Stavební rozpočet'!D8</f>
        <v> </v>
      </c>
      <c r="D10" s="158"/>
      <c r="E10" s="166" t="s">
        <v>36</v>
      </c>
      <c r="F10" s="166">
        <f>'Stavební rozpočet'!J8</f>
        <v>0</v>
      </c>
      <c r="G10" s="158"/>
      <c r="H10" s="168" t="s">
        <v>54</v>
      </c>
      <c r="I10" s="171" t="str">
        <f>'Stavební rozpočet'!H8</f>
        <v>0</v>
      </c>
      <c r="J10" s="74"/>
    </row>
    <row r="11" spans="1:10" ht="12">
      <c r="A11" s="169"/>
      <c r="B11" s="170"/>
      <c r="C11" s="170"/>
      <c r="D11" s="170"/>
      <c r="E11" s="170"/>
      <c r="F11" s="170"/>
      <c r="G11" s="170"/>
      <c r="H11" s="170"/>
      <c r="I11" s="172"/>
      <c r="J11" s="74"/>
    </row>
    <row r="12" spans="1:9" ht="12">
      <c r="A12" s="82"/>
      <c r="B12" s="3"/>
      <c r="C12" s="3"/>
      <c r="D12" s="3"/>
      <c r="E12" s="3"/>
      <c r="F12" s="3"/>
      <c r="G12" s="3"/>
      <c r="H12" s="3"/>
      <c r="I12" s="86"/>
    </row>
    <row r="13" spans="1:9" ht="15" customHeight="1" thickBot="1">
      <c r="A13" s="199" t="s">
        <v>58</v>
      </c>
      <c r="B13" s="200"/>
      <c r="C13" s="200"/>
      <c r="D13" s="200"/>
      <c r="E13" s="200"/>
      <c r="F13" s="19"/>
      <c r="G13" s="19"/>
      <c r="H13" s="19"/>
      <c r="I13" s="93"/>
    </row>
    <row r="14" spans="1:10" ht="12.75">
      <c r="A14" s="201" t="s">
        <v>59</v>
      </c>
      <c r="B14" s="202"/>
      <c r="C14" s="202"/>
      <c r="D14" s="202"/>
      <c r="E14" s="203"/>
      <c r="F14" s="20" t="s">
        <v>67</v>
      </c>
      <c r="G14" s="20" t="s">
        <v>68</v>
      </c>
      <c r="H14" s="20" t="s">
        <v>69</v>
      </c>
      <c r="I14" s="20" t="s">
        <v>67</v>
      </c>
      <c r="J14" s="74"/>
    </row>
    <row r="15" spans="1:10" ht="12">
      <c r="A15" s="204" t="s">
        <v>24</v>
      </c>
      <c r="B15" s="205"/>
      <c r="C15" s="205"/>
      <c r="D15" s="205"/>
      <c r="E15" s="206"/>
      <c r="F15" s="21">
        <v>0</v>
      </c>
      <c r="G15" s="24"/>
      <c r="H15" s="24"/>
      <c r="I15" s="94">
        <f>F15</f>
        <v>0</v>
      </c>
      <c r="J15" s="74"/>
    </row>
    <row r="16" spans="1:10" ht="12">
      <c r="A16" s="204" t="s">
        <v>25</v>
      </c>
      <c r="B16" s="205"/>
      <c r="C16" s="205"/>
      <c r="D16" s="205"/>
      <c r="E16" s="206"/>
      <c r="F16" s="21">
        <v>0</v>
      </c>
      <c r="G16" s="24"/>
      <c r="H16" s="24"/>
      <c r="I16" s="94">
        <f>F16</f>
        <v>0</v>
      </c>
      <c r="J16" s="74"/>
    </row>
    <row r="17" spans="1:10" ht="12.75" thickBot="1">
      <c r="A17" s="207" t="s">
        <v>26</v>
      </c>
      <c r="B17" s="208"/>
      <c r="C17" s="208"/>
      <c r="D17" s="208"/>
      <c r="E17" s="209"/>
      <c r="F17" s="22">
        <v>0</v>
      </c>
      <c r="G17" s="25"/>
      <c r="H17" s="25"/>
      <c r="I17" s="95">
        <f>F17</f>
        <v>0</v>
      </c>
      <c r="J17" s="74"/>
    </row>
    <row r="18" spans="1:10" ht="13.5" thickBot="1">
      <c r="A18" s="210" t="s">
        <v>60</v>
      </c>
      <c r="B18" s="211"/>
      <c r="C18" s="211"/>
      <c r="D18" s="211"/>
      <c r="E18" s="212"/>
      <c r="F18" s="23"/>
      <c r="G18" s="26"/>
      <c r="H18" s="26"/>
      <c r="I18" s="27">
        <f>SUM(I15:I17)</f>
        <v>0</v>
      </c>
      <c r="J18" s="74"/>
    </row>
    <row r="19" spans="1:9" ht="12.75" thickBot="1">
      <c r="A19" s="96"/>
      <c r="B19" s="18"/>
      <c r="C19" s="18"/>
      <c r="D19" s="18"/>
      <c r="E19" s="18"/>
      <c r="F19" s="18"/>
      <c r="G19" s="18"/>
      <c r="H19" s="18"/>
      <c r="I19" s="97"/>
    </row>
    <row r="20" spans="1:10" ht="12.75">
      <c r="A20" s="201" t="s">
        <v>55</v>
      </c>
      <c r="B20" s="202"/>
      <c r="C20" s="202"/>
      <c r="D20" s="202"/>
      <c r="E20" s="203"/>
      <c r="F20" s="20" t="s">
        <v>67</v>
      </c>
      <c r="G20" s="20" t="s">
        <v>68</v>
      </c>
      <c r="H20" s="20" t="s">
        <v>69</v>
      </c>
      <c r="I20" s="20" t="s">
        <v>67</v>
      </c>
      <c r="J20" s="74"/>
    </row>
    <row r="21" spans="1:10" ht="12">
      <c r="A21" s="204" t="s">
        <v>39</v>
      </c>
      <c r="B21" s="205"/>
      <c r="C21" s="205"/>
      <c r="D21" s="205"/>
      <c r="E21" s="206"/>
      <c r="F21" s="24"/>
      <c r="G21" s="91">
        <v>0</v>
      </c>
      <c r="H21" s="21">
        <f>'Krycí list rozpočtu'!C22</f>
        <v>0</v>
      </c>
      <c r="I21" s="94">
        <f>ROUND((G21/100)*H21,2)</f>
        <v>0</v>
      </c>
      <c r="J21" s="74"/>
    </row>
    <row r="22" spans="1:10" ht="12">
      <c r="A22" s="204" t="s">
        <v>40</v>
      </c>
      <c r="B22" s="205"/>
      <c r="C22" s="205"/>
      <c r="D22" s="205"/>
      <c r="E22" s="206"/>
      <c r="F22" s="91">
        <v>0</v>
      </c>
      <c r="G22" s="24"/>
      <c r="H22" s="24"/>
      <c r="I22" s="94">
        <f>F22</f>
        <v>0</v>
      </c>
      <c r="J22" s="74"/>
    </row>
    <row r="23" spans="1:10" ht="12">
      <c r="A23" s="204" t="s">
        <v>41</v>
      </c>
      <c r="B23" s="205"/>
      <c r="C23" s="205"/>
      <c r="D23" s="205"/>
      <c r="E23" s="206"/>
      <c r="F23" s="91">
        <v>0</v>
      </c>
      <c r="G23" s="24"/>
      <c r="H23" s="24"/>
      <c r="I23" s="94">
        <f>F23</f>
        <v>0</v>
      </c>
      <c r="J23" s="74"/>
    </row>
    <row r="24" spans="1:10" ht="12">
      <c r="A24" s="204" t="s">
        <v>42</v>
      </c>
      <c r="B24" s="205"/>
      <c r="C24" s="205"/>
      <c r="D24" s="205"/>
      <c r="E24" s="206"/>
      <c r="F24" s="91">
        <v>0</v>
      </c>
      <c r="G24" s="24"/>
      <c r="H24" s="24"/>
      <c r="I24" s="94">
        <f>F24</f>
        <v>0</v>
      </c>
      <c r="J24" s="74"/>
    </row>
    <row r="25" spans="1:10" ht="12">
      <c r="A25" s="213" t="s">
        <v>586</v>
      </c>
      <c r="B25" s="205"/>
      <c r="C25" s="205"/>
      <c r="D25" s="205"/>
      <c r="E25" s="206"/>
      <c r="F25" s="91">
        <v>0</v>
      </c>
      <c r="G25" s="24"/>
      <c r="H25" s="24"/>
      <c r="I25" s="94">
        <f>F25</f>
        <v>0</v>
      </c>
      <c r="J25" s="74"/>
    </row>
    <row r="26" spans="1:10" ht="12.75" thickBot="1">
      <c r="A26" s="207" t="s">
        <v>44</v>
      </c>
      <c r="B26" s="208"/>
      <c r="C26" s="208"/>
      <c r="D26" s="208"/>
      <c r="E26" s="209"/>
      <c r="F26" s="92">
        <v>0</v>
      </c>
      <c r="G26" s="25"/>
      <c r="H26" s="25"/>
      <c r="I26" s="95">
        <f>F26</f>
        <v>0</v>
      </c>
      <c r="J26" s="74"/>
    </row>
    <row r="27" spans="1:10" ht="13.5" thickBot="1">
      <c r="A27" s="210" t="s">
        <v>61</v>
      </c>
      <c r="B27" s="211"/>
      <c r="C27" s="211"/>
      <c r="D27" s="211"/>
      <c r="E27" s="212"/>
      <c r="F27" s="23"/>
      <c r="G27" s="26"/>
      <c r="H27" s="26"/>
      <c r="I27" s="27">
        <f>SUM(I21:I26)</f>
        <v>0</v>
      </c>
      <c r="J27" s="74"/>
    </row>
    <row r="28" spans="1:9" ht="12.75" thickBot="1">
      <c r="A28" s="96"/>
      <c r="B28" s="18"/>
      <c r="C28" s="18"/>
      <c r="D28" s="18"/>
      <c r="E28" s="18"/>
      <c r="F28" s="18"/>
      <c r="G28" s="18"/>
      <c r="H28" s="18"/>
      <c r="I28" s="97"/>
    </row>
    <row r="29" spans="1:10" ht="15" customHeight="1" thickBot="1">
      <c r="A29" s="214" t="s">
        <v>62</v>
      </c>
      <c r="B29" s="215"/>
      <c r="C29" s="215"/>
      <c r="D29" s="215"/>
      <c r="E29" s="216"/>
      <c r="F29" s="217">
        <f>I18+I27</f>
        <v>0</v>
      </c>
      <c r="G29" s="218"/>
      <c r="H29" s="218"/>
      <c r="I29" s="219"/>
      <c r="J29" s="74"/>
    </row>
    <row r="30" spans="1:9" ht="15" customHeight="1" thickBot="1">
      <c r="A30" s="199" t="s">
        <v>63</v>
      </c>
      <c r="B30" s="200"/>
      <c r="C30" s="200"/>
      <c r="D30" s="200"/>
      <c r="E30" s="200"/>
      <c r="F30" s="19"/>
      <c r="G30" s="19"/>
      <c r="H30" s="19"/>
      <c r="I30" s="93"/>
    </row>
    <row r="31" spans="1:10" ht="12.75">
      <c r="A31" s="201" t="s">
        <v>64</v>
      </c>
      <c r="B31" s="202"/>
      <c r="C31" s="202"/>
      <c r="D31" s="202"/>
      <c r="E31" s="203"/>
      <c r="F31" s="20" t="s">
        <v>67</v>
      </c>
      <c r="G31" s="20" t="s">
        <v>68</v>
      </c>
      <c r="H31" s="20" t="s">
        <v>69</v>
      </c>
      <c r="I31" s="20" t="s">
        <v>67</v>
      </c>
      <c r="J31" s="74"/>
    </row>
    <row r="32" spans="1:10" ht="12.75" thickBot="1">
      <c r="A32" s="207"/>
      <c r="B32" s="208"/>
      <c r="C32" s="208"/>
      <c r="D32" s="208"/>
      <c r="E32" s="209"/>
      <c r="F32" s="22">
        <v>0</v>
      </c>
      <c r="G32" s="25"/>
      <c r="H32" s="25"/>
      <c r="I32" s="95">
        <f>F32</f>
        <v>0</v>
      </c>
      <c r="J32" s="74"/>
    </row>
    <row r="33" spans="1:10" ht="13.5" thickBot="1">
      <c r="A33" s="210" t="s">
        <v>65</v>
      </c>
      <c r="B33" s="211"/>
      <c r="C33" s="211"/>
      <c r="D33" s="211"/>
      <c r="E33" s="212"/>
      <c r="F33" s="23"/>
      <c r="G33" s="26"/>
      <c r="H33" s="26"/>
      <c r="I33" s="27">
        <f>SUM(I32:I32)</f>
        <v>0</v>
      </c>
      <c r="J33" s="74"/>
    </row>
    <row r="34" spans="1:9" ht="12">
      <c r="A34" s="6"/>
      <c r="B34" s="6"/>
      <c r="C34" s="6"/>
      <c r="D34" s="6"/>
      <c r="E34" s="6"/>
      <c r="F34" s="6"/>
      <c r="G34" s="6"/>
      <c r="H34" s="6"/>
      <c r="I34" s="6"/>
    </row>
  </sheetData>
  <sheetProtection password="C168" sheet="1" objects="1" scenarios="1"/>
  <mergeCells count="51">
    <mergeCell ref="A32:E32"/>
    <mergeCell ref="A33:E33"/>
    <mergeCell ref="A26:E26"/>
    <mergeCell ref="A27:E27"/>
    <mergeCell ref="A29:E29"/>
    <mergeCell ref="F29:I29"/>
    <mergeCell ref="A30:E30"/>
    <mergeCell ref="A31:E31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pane ySplit="11" topLeftCell="A23" activePane="bottomLeft" state="frozen"/>
      <selection pane="topLeft" activeCell="A1" sqref="A1"/>
      <selection pane="bottomLeft" activeCell="C27" sqref="C27:H27"/>
    </sheetView>
  </sheetViews>
  <sheetFormatPr defaultColWidth="11.57421875" defaultRowHeight="12.75"/>
  <cols>
    <col min="1" max="1" width="7.57421875" style="0" customWidth="1"/>
    <col min="2" max="2" width="5.7109375" style="0" customWidth="1"/>
    <col min="3" max="8" width="15.7109375" style="0" customWidth="1"/>
    <col min="9" max="10" width="14.28125" style="0" customWidth="1"/>
    <col min="11" max="11" width="16.8515625" style="0" customWidth="1"/>
    <col min="12" max="12" width="14.28125" style="0" customWidth="1"/>
    <col min="13" max="16" width="12.140625" style="0" hidden="1" customWidth="1"/>
  </cols>
  <sheetData>
    <row r="1" spans="1:12" ht="72.75" customHeight="1">
      <c r="A1" s="220" t="s">
        <v>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3" ht="12">
      <c r="A2" s="155" t="s">
        <v>0</v>
      </c>
      <c r="B2" s="156"/>
      <c r="C2" s="156"/>
      <c r="D2" s="159" t="str">
        <f>'Stavební rozpočet'!D2</f>
        <v>ZŠ RAKOVSKÉHO  rozšíření jídelny</v>
      </c>
      <c r="E2" s="160"/>
      <c r="F2" s="160"/>
      <c r="G2" s="162" t="s">
        <v>120</v>
      </c>
      <c r="H2" s="162" t="str">
        <f>'Stavební rozpočet'!H2</f>
        <v> </v>
      </c>
      <c r="I2" s="162" t="s">
        <v>32</v>
      </c>
      <c r="J2" s="162" t="str">
        <f>'Stavební rozpočet'!J2</f>
        <v> </v>
      </c>
      <c r="K2" s="156"/>
      <c r="L2" s="221"/>
      <c r="M2" s="74"/>
    </row>
    <row r="3" spans="1:13" ht="12">
      <c r="A3" s="157"/>
      <c r="B3" s="158"/>
      <c r="C3" s="158"/>
      <c r="D3" s="161"/>
      <c r="E3" s="161"/>
      <c r="F3" s="161"/>
      <c r="G3" s="158"/>
      <c r="H3" s="158"/>
      <c r="I3" s="158"/>
      <c r="J3" s="158"/>
      <c r="K3" s="158"/>
      <c r="L3" s="164"/>
      <c r="M3" s="74"/>
    </row>
    <row r="4" spans="1:13" ht="12">
      <c r="A4" s="165" t="s">
        <v>1</v>
      </c>
      <c r="B4" s="158"/>
      <c r="C4" s="158"/>
      <c r="D4" s="166" t="str">
        <f>'Stavební rozpočet'!D4</f>
        <v>rekonstrukce a oprava</v>
      </c>
      <c r="E4" s="158"/>
      <c r="F4" s="158"/>
      <c r="G4" s="166" t="s">
        <v>3</v>
      </c>
      <c r="H4" s="166" t="str">
        <f>'Stavební rozpočet'!H4</f>
        <v> </v>
      </c>
      <c r="I4" s="166" t="s">
        <v>33</v>
      </c>
      <c r="J4" s="166" t="str">
        <f>'Stavební rozpočet'!J4</f>
        <v>MIKRO PRAHA spol. s.r.o.</v>
      </c>
      <c r="K4" s="158"/>
      <c r="L4" s="164"/>
      <c r="M4" s="74"/>
    </row>
    <row r="5" spans="1:13" ht="12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64"/>
      <c r="M5" s="74"/>
    </row>
    <row r="6" spans="1:13" ht="12">
      <c r="A6" s="165" t="s">
        <v>2</v>
      </c>
      <c r="B6" s="158"/>
      <c r="C6" s="158"/>
      <c r="D6" s="166" t="str">
        <f>'Stavební rozpočet'!D6</f>
        <v>RAKOVSKÉHO 3136/1, PRAHA 12</v>
      </c>
      <c r="E6" s="158"/>
      <c r="F6" s="158"/>
      <c r="G6" s="166" t="s">
        <v>35</v>
      </c>
      <c r="H6" s="166" t="str">
        <f>'Stavební rozpočet'!H6</f>
        <v> </v>
      </c>
      <c r="I6" s="166" t="s">
        <v>34</v>
      </c>
      <c r="J6" s="166" t="str">
        <f>'Stavební rozpočet'!J6</f>
        <v> </v>
      </c>
      <c r="K6" s="158"/>
      <c r="L6" s="164"/>
      <c r="M6" s="74"/>
    </row>
    <row r="7" spans="1:13" ht="12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64"/>
      <c r="M7" s="74"/>
    </row>
    <row r="8" spans="1:13" ht="12">
      <c r="A8" s="165" t="s">
        <v>4</v>
      </c>
      <c r="B8" s="158"/>
      <c r="C8" s="158"/>
      <c r="D8" s="166" t="str">
        <f>'Stavební rozpočet'!D8</f>
        <v> </v>
      </c>
      <c r="E8" s="158"/>
      <c r="F8" s="158"/>
      <c r="G8" s="166" t="s">
        <v>121</v>
      </c>
      <c r="H8" s="166" t="str">
        <f>'Stavební rozpočet'!H8</f>
        <v>0</v>
      </c>
      <c r="I8" s="166" t="s">
        <v>36</v>
      </c>
      <c r="J8" s="166">
        <f>'Stavební rozpočet'!J8</f>
        <v>0</v>
      </c>
      <c r="K8" s="158"/>
      <c r="L8" s="164"/>
      <c r="M8" s="74"/>
    </row>
    <row r="9" spans="1:13" ht="12.75" thickBot="1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4"/>
      <c r="M9" s="74"/>
    </row>
    <row r="10" spans="1:13" ht="12.75">
      <c r="A10" s="28" t="s">
        <v>71</v>
      </c>
      <c r="B10" s="31" t="s">
        <v>71</v>
      </c>
      <c r="C10" s="225" t="s">
        <v>71</v>
      </c>
      <c r="D10" s="226"/>
      <c r="E10" s="226"/>
      <c r="F10" s="226"/>
      <c r="G10" s="226"/>
      <c r="H10" s="227"/>
      <c r="I10" s="228" t="s">
        <v>122</v>
      </c>
      <c r="J10" s="229"/>
      <c r="K10" s="230"/>
      <c r="L10" s="38" t="s">
        <v>126</v>
      </c>
      <c r="M10" s="74"/>
    </row>
    <row r="11" spans="1:13" ht="13.5" thickBot="1">
      <c r="A11" s="29" t="s">
        <v>72</v>
      </c>
      <c r="B11" s="32" t="s">
        <v>73</v>
      </c>
      <c r="C11" s="231" t="s">
        <v>96</v>
      </c>
      <c r="D11" s="232"/>
      <c r="E11" s="232"/>
      <c r="F11" s="232"/>
      <c r="G11" s="232"/>
      <c r="H11" s="233"/>
      <c r="I11" s="35" t="s">
        <v>123</v>
      </c>
      <c r="J11" s="36" t="s">
        <v>21</v>
      </c>
      <c r="K11" s="37" t="s">
        <v>125</v>
      </c>
      <c r="L11" s="39" t="s">
        <v>125</v>
      </c>
      <c r="M11" s="74"/>
    </row>
    <row r="12" spans="1:16" ht="12">
      <c r="A12" s="102"/>
      <c r="B12" s="33"/>
      <c r="C12" s="234" t="s">
        <v>97</v>
      </c>
      <c r="D12" s="226"/>
      <c r="E12" s="226"/>
      <c r="F12" s="226"/>
      <c r="G12" s="226"/>
      <c r="H12" s="226"/>
      <c r="I12" s="98">
        <f>'Stavební rozpočet'!I12</f>
        <v>0</v>
      </c>
      <c r="J12" s="98">
        <f>'Stavební rozpočet'!J12</f>
        <v>0</v>
      </c>
      <c r="K12" s="40">
        <f>'Stavební rozpočet'!K12</f>
        <v>0</v>
      </c>
      <c r="L12" s="103">
        <f>'Stavební rozpočet'!M12</f>
        <v>0</v>
      </c>
      <c r="M12" s="41" t="s">
        <v>127</v>
      </c>
      <c r="N12" s="41">
        <f aca="true" t="shared" si="0" ref="N12:N34">IF(M12="F",0,K12)</f>
        <v>0</v>
      </c>
      <c r="O12" s="14"/>
      <c r="P12" s="41">
        <f aca="true" t="shared" si="1" ref="P12:P34">IF(M12="T",0,K12)</f>
        <v>0</v>
      </c>
    </row>
    <row r="13" spans="1:16" ht="12">
      <c r="A13" s="104"/>
      <c r="B13" s="14" t="s">
        <v>74</v>
      </c>
      <c r="C13" s="168" t="s">
        <v>98</v>
      </c>
      <c r="D13" s="158"/>
      <c r="E13" s="158"/>
      <c r="F13" s="158"/>
      <c r="G13" s="158"/>
      <c r="H13" s="158"/>
      <c r="I13" s="99" t="str">
        <f>'Stavební rozpočet'!I13</f>
        <v> </v>
      </c>
      <c r="J13" s="99" t="str">
        <f>'Stavební rozpočet'!J13</f>
        <v> </v>
      </c>
      <c r="K13" s="41">
        <f>'Stavební rozpočet'!K13</f>
        <v>0</v>
      </c>
      <c r="L13" s="105">
        <f>'Stavební rozpočet'!M13</f>
        <v>2.8241733499999997</v>
      </c>
      <c r="M13" s="41" t="s">
        <v>128</v>
      </c>
      <c r="N13" s="41">
        <f t="shared" si="0"/>
        <v>0</v>
      </c>
      <c r="O13" s="14"/>
      <c r="P13" s="41">
        <f t="shared" si="1"/>
        <v>0</v>
      </c>
    </row>
    <row r="14" spans="1:16" ht="12">
      <c r="A14" s="104"/>
      <c r="B14" s="14" t="s">
        <v>75</v>
      </c>
      <c r="C14" s="168" t="s">
        <v>99</v>
      </c>
      <c r="D14" s="158"/>
      <c r="E14" s="158"/>
      <c r="F14" s="158"/>
      <c r="G14" s="158"/>
      <c r="H14" s="158"/>
      <c r="I14" s="99" t="str">
        <f>'Stavební rozpočet'!I16</f>
        <v> </v>
      </c>
      <c r="J14" s="99" t="str">
        <f>'Stavební rozpočet'!J16</f>
        <v> </v>
      </c>
      <c r="K14" s="41">
        <f>'Stavební rozpočet'!K16</f>
        <v>0</v>
      </c>
      <c r="L14" s="105">
        <f>'Stavební rozpočet'!M16</f>
        <v>7.116639200000001</v>
      </c>
      <c r="M14" s="41" t="s">
        <v>128</v>
      </c>
      <c r="N14" s="41">
        <f t="shared" si="0"/>
        <v>0</v>
      </c>
      <c r="O14" s="14"/>
      <c r="P14" s="41">
        <f t="shared" si="1"/>
        <v>0</v>
      </c>
    </row>
    <row r="15" spans="1:16" ht="12">
      <c r="A15" s="104"/>
      <c r="B15" s="14" t="s">
        <v>76</v>
      </c>
      <c r="C15" s="168" t="s">
        <v>100</v>
      </c>
      <c r="D15" s="158"/>
      <c r="E15" s="158"/>
      <c r="F15" s="158"/>
      <c r="G15" s="158"/>
      <c r="H15" s="158"/>
      <c r="I15" s="99" t="str">
        <f>'Stavební rozpočet'!I21</f>
        <v> </v>
      </c>
      <c r="J15" s="99" t="str">
        <f>'Stavební rozpočet'!J21</f>
        <v> </v>
      </c>
      <c r="K15" s="41">
        <f>'Stavební rozpočet'!K21</f>
        <v>0</v>
      </c>
      <c r="L15" s="105">
        <f>'Stavební rozpočet'!M21</f>
        <v>0.047912</v>
      </c>
      <c r="M15" s="41" t="s">
        <v>128</v>
      </c>
      <c r="N15" s="41">
        <f t="shared" si="0"/>
        <v>0</v>
      </c>
      <c r="O15" s="14"/>
      <c r="P15" s="41">
        <f t="shared" si="1"/>
        <v>0</v>
      </c>
    </row>
    <row r="16" spans="1:16" ht="12">
      <c r="A16" s="104"/>
      <c r="B16" s="14" t="s">
        <v>77</v>
      </c>
      <c r="C16" s="168" t="s">
        <v>101</v>
      </c>
      <c r="D16" s="158"/>
      <c r="E16" s="158"/>
      <c r="F16" s="158"/>
      <c r="G16" s="158"/>
      <c r="H16" s="158"/>
      <c r="I16" s="99" t="str">
        <f>'Stavební rozpočet'!I23</f>
        <v> </v>
      </c>
      <c r="J16" s="99" t="str">
        <f>'Stavební rozpočet'!J23</f>
        <v> </v>
      </c>
      <c r="K16" s="41">
        <f>'Stavební rozpočet'!K23</f>
        <v>0</v>
      </c>
      <c r="L16" s="105">
        <f>'Stavební rozpočet'!M23</f>
        <v>2.810052</v>
      </c>
      <c r="M16" s="41" t="s">
        <v>128</v>
      </c>
      <c r="N16" s="41">
        <f t="shared" si="0"/>
        <v>0</v>
      </c>
      <c r="O16" s="14"/>
      <c r="P16" s="41">
        <f t="shared" si="1"/>
        <v>0</v>
      </c>
    </row>
    <row r="17" spans="1:16" ht="12">
      <c r="A17" s="104"/>
      <c r="B17" s="14" t="s">
        <v>78</v>
      </c>
      <c r="C17" s="168" t="s">
        <v>102</v>
      </c>
      <c r="D17" s="158"/>
      <c r="E17" s="158"/>
      <c r="F17" s="158"/>
      <c r="G17" s="158"/>
      <c r="H17" s="158"/>
      <c r="I17" s="99" t="str">
        <f>'Stavební rozpočet'!I28</f>
        <v> </v>
      </c>
      <c r="J17" s="99" t="str">
        <f>'Stavební rozpočet'!J28</f>
        <v> </v>
      </c>
      <c r="K17" s="41">
        <f>'Stavební rozpočet'!K25</f>
        <v>0</v>
      </c>
      <c r="L17" s="105">
        <f>'Stavební rozpočet'!M25</f>
        <v>0.20409</v>
      </c>
      <c r="M17" s="41" t="s">
        <v>128</v>
      </c>
      <c r="N17" s="41">
        <f t="shared" si="0"/>
        <v>0</v>
      </c>
      <c r="O17" s="14"/>
      <c r="P17" s="41">
        <f t="shared" si="1"/>
        <v>0</v>
      </c>
    </row>
    <row r="18" spans="1:16" ht="12">
      <c r="A18" s="104"/>
      <c r="B18" s="14" t="s">
        <v>79</v>
      </c>
      <c r="C18" s="168" t="s">
        <v>103</v>
      </c>
      <c r="D18" s="158"/>
      <c r="E18" s="158"/>
      <c r="F18" s="158"/>
      <c r="G18" s="158"/>
      <c r="H18" s="158"/>
      <c r="I18" s="99" t="e">
        <f>'Stavební rozpočet'!#REF!</f>
        <v>#REF!</v>
      </c>
      <c r="J18" s="99" t="e">
        <f>'Stavební rozpočet'!#REF!</f>
        <v>#REF!</v>
      </c>
      <c r="K18" s="41">
        <f>'Stavební rozpočet'!K28</f>
        <v>0</v>
      </c>
      <c r="L18" s="105">
        <f>'Stavební rozpočet'!M28</f>
        <v>0.309472</v>
      </c>
      <c r="M18" s="41" t="s">
        <v>128</v>
      </c>
      <c r="N18" s="41">
        <f t="shared" si="0"/>
        <v>0</v>
      </c>
      <c r="O18" s="14"/>
      <c r="P18" s="41">
        <f t="shared" si="1"/>
        <v>0</v>
      </c>
    </row>
    <row r="19" spans="1:16" ht="12">
      <c r="A19" s="104"/>
      <c r="B19" s="14" t="s">
        <v>80</v>
      </c>
      <c r="C19" s="168" t="s">
        <v>104</v>
      </c>
      <c r="D19" s="158"/>
      <c r="E19" s="158"/>
      <c r="F19" s="158"/>
      <c r="G19" s="158"/>
      <c r="H19" s="158"/>
      <c r="I19" s="99" t="str">
        <f>'Stavební rozpočet'!I31</f>
        <v> </v>
      </c>
      <c r="J19" s="99" t="str">
        <f>'Stavební rozpočet'!J31</f>
        <v> </v>
      </c>
      <c r="K19" s="41">
        <f>'Stavební rozpočet'!K31</f>
        <v>0</v>
      </c>
      <c r="L19" s="105">
        <f>'Stavební rozpočet'!M31</f>
        <v>0.02396</v>
      </c>
      <c r="M19" s="41" t="s">
        <v>128</v>
      </c>
      <c r="N19" s="41">
        <f t="shared" si="0"/>
        <v>0</v>
      </c>
      <c r="O19" s="14"/>
      <c r="P19" s="41">
        <f t="shared" si="1"/>
        <v>0</v>
      </c>
    </row>
    <row r="20" spans="1:16" ht="12">
      <c r="A20" s="104"/>
      <c r="B20" s="14" t="s">
        <v>81</v>
      </c>
      <c r="C20" s="168" t="s">
        <v>105</v>
      </c>
      <c r="D20" s="158"/>
      <c r="E20" s="158"/>
      <c r="F20" s="158"/>
      <c r="G20" s="158"/>
      <c r="H20" s="158"/>
      <c r="I20" s="99" t="str">
        <f>'Stavební rozpočet'!I36</f>
        <v> </v>
      </c>
      <c r="J20" s="99" t="str">
        <f>'Stavební rozpočet'!J36</f>
        <v> </v>
      </c>
      <c r="K20" s="41">
        <f>'Stavební rozpočet'!K36</f>
        <v>0</v>
      </c>
      <c r="L20" s="105">
        <f>'Stavební rozpočet'!M36</f>
        <v>0.12496</v>
      </c>
      <c r="M20" s="41" t="s">
        <v>128</v>
      </c>
      <c r="N20" s="41">
        <f t="shared" si="0"/>
        <v>0</v>
      </c>
      <c r="O20" s="14"/>
      <c r="P20" s="41">
        <f t="shared" si="1"/>
        <v>0</v>
      </c>
    </row>
    <row r="21" spans="1:16" ht="12">
      <c r="A21" s="104"/>
      <c r="B21" s="14" t="s">
        <v>82</v>
      </c>
      <c r="C21" s="168" t="s">
        <v>106</v>
      </c>
      <c r="D21" s="158"/>
      <c r="E21" s="158"/>
      <c r="F21" s="158"/>
      <c r="G21" s="158"/>
      <c r="H21" s="158"/>
      <c r="I21" s="99" t="str">
        <f>'Stavební rozpočet'!I46</f>
        <v> </v>
      </c>
      <c r="J21" s="99" t="str">
        <f>'Stavební rozpočet'!J46</f>
        <v> </v>
      </c>
      <c r="K21" s="41">
        <f>'Stavební rozpočet'!K46</f>
        <v>0</v>
      </c>
      <c r="L21" s="105">
        <f>'Stavební rozpočet'!M46</f>
        <v>0.17365</v>
      </c>
      <c r="M21" s="41" t="s">
        <v>128</v>
      </c>
      <c r="N21" s="41">
        <f t="shared" si="0"/>
        <v>0</v>
      </c>
      <c r="O21" s="14"/>
      <c r="P21" s="41">
        <f t="shared" si="1"/>
        <v>0</v>
      </c>
    </row>
    <row r="22" spans="1:16" ht="12">
      <c r="A22" s="104"/>
      <c r="B22" s="14" t="s">
        <v>83</v>
      </c>
      <c r="C22" s="168" t="s">
        <v>107</v>
      </c>
      <c r="D22" s="158"/>
      <c r="E22" s="158"/>
      <c r="F22" s="158"/>
      <c r="G22" s="158"/>
      <c r="H22" s="158"/>
      <c r="I22" s="99" t="str">
        <f>'Stavební rozpočet'!I53</f>
        <v> </v>
      </c>
      <c r="J22" s="99" t="str">
        <f>'Stavební rozpočet'!J53</f>
        <v> </v>
      </c>
      <c r="K22" s="41">
        <f>'Stavební rozpočet'!K53</f>
        <v>0</v>
      </c>
      <c r="L22" s="105">
        <f>'Stavební rozpočet'!M53</f>
        <v>0.27966</v>
      </c>
      <c r="M22" s="41" t="s">
        <v>128</v>
      </c>
      <c r="N22" s="41">
        <f t="shared" si="0"/>
        <v>0</v>
      </c>
      <c r="O22" s="14"/>
      <c r="P22" s="41">
        <f t="shared" si="1"/>
        <v>0</v>
      </c>
    </row>
    <row r="23" spans="1:16" ht="12">
      <c r="A23" s="104"/>
      <c r="B23" s="14" t="s">
        <v>84</v>
      </c>
      <c r="C23" s="168" t="s">
        <v>108</v>
      </c>
      <c r="D23" s="158"/>
      <c r="E23" s="158"/>
      <c r="F23" s="158"/>
      <c r="G23" s="158"/>
      <c r="H23" s="158"/>
      <c r="I23" s="99" t="str">
        <f>'Stavební rozpočet'!I56</f>
        <v> </v>
      </c>
      <c r="J23" s="99" t="str">
        <f>'Stavební rozpočet'!J56</f>
        <v> </v>
      </c>
      <c r="K23" s="41">
        <f>'Stavební rozpočet'!K56</f>
        <v>0</v>
      </c>
      <c r="L23" s="105">
        <f>'Stavební rozpočet'!M56</f>
        <v>0.7530120000000001</v>
      </c>
      <c r="M23" s="41" t="s">
        <v>128</v>
      </c>
      <c r="N23" s="41">
        <f t="shared" si="0"/>
        <v>0</v>
      </c>
      <c r="O23" s="14"/>
      <c r="P23" s="41">
        <f t="shared" si="1"/>
        <v>0</v>
      </c>
    </row>
    <row r="24" spans="1:16" ht="12">
      <c r="A24" s="104"/>
      <c r="B24" s="14" t="s">
        <v>85</v>
      </c>
      <c r="C24" s="168" t="s">
        <v>109</v>
      </c>
      <c r="D24" s="158"/>
      <c r="E24" s="158"/>
      <c r="F24" s="158"/>
      <c r="G24" s="158"/>
      <c r="H24" s="158"/>
      <c r="I24" s="99" t="str">
        <f>'Stavební rozpočet'!I66</f>
        <v> </v>
      </c>
      <c r="J24" s="99" t="str">
        <f>'Stavební rozpočet'!J66</f>
        <v> </v>
      </c>
      <c r="K24" s="41">
        <f>'Stavební rozpočet'!K66</f>
        <v>0</v>
      </c>
      <c r="L24" s="105">
        <f>'Stavební rozpočet'!M66</f>
        <v>1.3388571000000002</v>
      </c>
      <c r="M24" s="41" t="s">
        <v>128</v>
      </c>
      <c r="N24" s="41">
        <f t="shared" si="0"/>
        <v>0</v>
      </c>
      <c r="O24" s="14"/>
      <c r="P24" s="41">
        <f t="shared" si="1"/>
        <v>0</v>
      </c>
    </row>
    <row r="25" spans="1:16" ht="12">
      <c r="A25" s="104"/>
      <c r="B25" s="14" t="s">
        <v>86</v>
      </c>
      <c r="C25" s="168" t="s">
        <v>110</v>
      </c>
      <c r="D25" s="158"/>
      <c r="E25" s="158"/>
      <c r="F25" s="158"/>
      <c r="G25" s="158"/>
      <c r="H25" s="158"/>
      <c r="I25" s="99" t="str">
        <f>'Stavební rozpočet'!I77</f>
        <v> </v>
      </c>
      <c r="J25" s="99" t="str">
        <f>'Stavební rozpočet'!J77</f>
        <v> </v>
      </c>
      <c r="K25" s="41">
        <f>'Stavební rozpočet'!K77</f>
        <v>0</v>
      </c>
      <c r="L25" s="105">
        <f>'Stavební rozpočet'!M77</f>
        <v>0.31177125000000006</v>
      </c>
      <c r="M25" s="41" t="s">
        <v>128</v>
      </c>
      <c r="N25" s="41">
        <f t="shared" si="0"/>
        <v>0</v>
      </c>
      <c r="O25" s="14"/>
      <c r="P25" s="41">
        <f t="shared" si="1"/>
        <v>0</v>
      </c>
    </row>
    <row r="26" spans="1:16" ht="12">
      <c r="A26" s="104"/>
      <c r="B26" s="14" t="s">
        <v>87</v>
      </c>
      <c r="C26" s="168" t="s">
        <v>111</v>
      </c>
      <c r="D26" s="158"/>
      <c r="E26" s="158"/>
      <c r="F26" s="158"/>
      <c r="G26" s="158"/>
      <c r="H26" s="158"/>
      <c r="I26" s="99" t="str">
        <f>'Stavební rozpočet'!I85</f>
        <v> </v>
      </c>
      <c r="J26" s="99" t="str">
        <f>'Stavební rozpočet'!J85</f>
        <v> </v>
      </c>
      <c r="K26" s="41">
        <f>'Stavební rozpočet'!K85</f>
        <v>0</v>
      </c>
      <c r="L26" s="105">
        <f>'Stavební rozpočet'!M85</f>
        <v>0.0111208</v>
      </c>
      <c r="M26" s="41" t="s">
        <v>128</v>
      </c>
      <c r="N26" s="41">
        <f t="shared" si="0"/>
        <v>0</v>
      </c>
      <c r="O26" s="14"/>
      <c r="P26" s="41">
        <f t="shared" si="1"/>
        <v>0</v>
      </c>
    </row>
    <row r="27" spans="1:16" ht="12">
      <c r="A27" s="104"/>
      <c r="B27" s="14" t="s">
        <v>88</v>
      </c>
      <c r="C27" s="168" t="s">
        <v>112</v>
      </c>
      <c r="D27" s="158"/>
      <c r="E27" s="158"/>
      <c r="F27" s="158"/>
      <c r="G27" s="158"/>
      <c r="H27" s="158"/>
      <c r="I27" s="99" t="str">
        <f>'Stavební rozpočet'!I89</f>
        <v> </v>
      </c>
      <c r="J27" s="99" t="str">
        <f>'Stavební rozpočet'!J89</f>
        <v> </v>
      </c>
      <c r="K27" s="41">
        <f>'Stavební rozpočet'!K89</f>
        <v>0</v>
      </c>
      <c r="L27" s="105">
        <f>'Stavební rozpočet'!M89</f>
        <v>0.0682176</v>
      </c>
      <c r="M27" s="41" t="s">
        <v>128</v>
      </c>
      <c r="N27" s="41">
        <f t="shared" si="0"/>
        <v>0</v>
      </c>
      <c r="O27" s="14"/>
      <c r="P27" s="41">
        <f t="shared" si="1"/>
        <v>0</v>
      </c>
    </row>
    <row r="28" spans="1:16" ht="12">
      <c r="A28" s="104"/>
      <c r="B28" s="14" t="s">
        <v>89</v>
      </c>
      <c r="C28" s="168" t="s">
        <v>113</v>
      </c>
      <c r="D28" s="158"/>
      <c r="E28" s="158"/>
      <c r="F28" s="158"/>
      <c r="G28" s="158"/>
      <c r="H28" s="158"/>
      <c r="I28" s="99" t="str">
        <f>'Stavební rozpočet'!I95</f>
        <v> </v>
      </c>
      <c r="J28" s="99" t="str">
        <f>'Stavební rozpočet'!J95</f>
        <v> </v>
      </c>
      <c r="K28" s="41">
        <f>'Stavební rozpočet'!K95</f>
        <v>0</v>
      </c>
      <c r="L28" s="105">
        <f>'Stavební rozpočet'!M95</f>
        <v>0.0484</v>
      </c>
      <c r="M28" s="41" t="s">
        <v>128</v>
      </c>
      <c r="N28" s="41">
        <f t="shared" si="0"/>
        <v>0</v>
      </c>
      <c r="O28" s="14"/>
      <c r="P28" s="41">
        <f t="shared" si="1"/>
        <v>0</v>
      </c>
    </row>
    <row r="29" spans="1:16" ht="12">
      <c r="A29" s="104"/>
      <c r="B29" s="14" t="s">
        <v>90</v>
      </c>
      <c r="C29" s="168" t="s">
        <v>114</v>
      </c>
      <c r="D29" s="158"/>
      <c r="E29" s="158"/>
      <c r="F29" s="158"/>
      <c r="G29" s="158"/>
      <c r="H29" s="158"/>
      <c r="I29" s="99" t="str">
        <f>'Stavební rozpočet'!I97</f>
        <v> </v>
      </c>
      <c r="J29" s="99" t="str">
        <f>'Stavební rozpočet'!J97</f>
        <v> </v>
      </c>
      <c r="K29" s="41">
        <f>'Stavební rozpočet'!K97</f>
        <v>0</v>
      </c>
      <c r="L29" s="105">
        <f>'Stavební rozpočet'!M97</f>
        <v>0.1</v>
      </c>
      <c r="M29" s="41" t="s">
        <v>128</v>
      </c>
      <c r="N29" s="41">
        <f t="shared" si="0"/>
        <v>0</v>
      </c>
      <c r="O29" s="14"/>
      <c r="P29" s="41">
        <f t="shared" si="1"/>
        <v>0</v>
      </c>
    </row>
    <row r="30" spans="1:16" ht="12">
      <c r="A30" s="104"/>
      <c r="B30" s="14" t="s">
        <v>91</v>
      </c>
      <c r="C30" s="168" t="s">
        <v>115</v>
      </c>
      <c r="D30" s="158"/>
      <c r="E30" s="158"/>
      <c r="F30" s="158"/>
      <c r="G30" s="158"/>
      <c r="H30" s="158"/>
      <c r="I30" s="99" t="str">
        <f>'Stavební rozpočet'!I99</f>
        <v> </v>
      </c>
      <c r="J30" s="99" t="str">
        <f>'Stavební rozpočet'!J99</f>
        <v> </v>
      </c>
      <c r="K30" s="41">
        <f>'Stavební rozpočet'!K99</f>
        <v>0</v>
      </c>
      <c r="L30" s="105">
        <f>'Stavební rozpočet'!M99</f>
        <v>11.828097</v>
      </c>
      <c r="M30" s="41" t="s">
        <v>128</v>
      </c>
      <c r="N30" s="41">
        <f t="shared" si="0"/>
        <v>0</v>
      </c>
      <c r="O30" s="14"/>
      <c r="P30" s="41">
        <f t="shared" si="1"/>
        <v>0</v>
      </c>
    </row>
    <row r="31" spans="1:16" ht="12">
      <c r="A31" s="104"/>
      <c r="B31" s="14" t="s">
        <v>92</v>
      </c>
      <c r="C31" s="168" t="s">
        <v>116</v>
      </c>
      <c r="D31" s="158"/>
      <c r="E31" s="158"/>
      <c r="F31" s="158"/>
      <c r="G31" s="158"/>
      <c r="H31" s="158"/>
      <c r="I31" s="99" t="str">
        <f>'Stavební rozpočet'!I108</f>
        <v> </v>
      </c>
      <c r="J31" s="99" t="str">
        <f>'Stavební rozpočet'!J108</f>
        <v> </v>
      </c>
      <c r="K31" s="41">
        <f>'Stavební rozpočet'!K108</f>
        <v>0</v>
      </c>
      <c r="L31" s="105">
        <f>'Stavební rozpočet'!M108</f>
        <v>1.8996220000000001</v>
      </c>
      <c r="M31" s="41" t="s">
        <v>128</v>
      </c>
      <c r="N31" s="41">
        <f t="shared" si="0"/>
        <v>0</v>
      </c>
      <c r="O31" s="14"/>
      <c r="P31" s="41">
        <f t="shared" si="1"/>
        <v>0</v>
      </c>
    </row>
    <row r="32" spans="1:16" ht="12">
      <c r="A32" s="104"/>
      <c r="B32" s="14" t="s">
        <v>93</v>
      </c>
      <c r="C32" s="168" t="s">
        <v>117</v>
      </c>
      <c r="D32" s="158"/>
      <c r="E32" s="158"/>
      <c r="F32" s="158"/>
      <c r="G32" s="158"/>
      <c r="H32" s="158"/>
      <c r="I32" s="99" t="str">
        <f>'Stavební rozpočet'!I114</f>
        <v> </v>
      </c>
      <c r="J32" s="99" t="str">
        <f>'Stavební rozpočet'!J114</f>
        <v> </v>
      </c>
      <c r="K32" s="41">
        <f>'Stavební rozpočet'!K114</f>
        <v>0</v>
      </c>
      <c r="L32" s="105">
        <f>'Stavební rozpočet'!M114</f>
        <v>0</v>
      </c>
      <c r="M32" s="41" t="s">
        <v>128</v>
      </c>
      <c r="N32" s="41">
        <f t="shared" si="0"/>
        <v>0</v>
      </c>
      <c r="O32" s="14"/>
      <c r="P32" s="41">
        <f t="shared" si="1"/>
        <v>0</v>
      </c>
    </row>
    <row r="33" spans="1:16" ht="12">
      <c r="A33" s="104"/>
      <c r="B33" s="14" t="s">
        <v>94</v>
      </c>
      <c r="C33" s="168" t="s">
        <v>118</v>
      </c>
      <c r="D33" s="158"/>
      <c r="E33" s="158"/>
      <c r="F33" s="158"/>
      <c r="G33" s="158"/>
      <c r="H33" s="158"/>
      <c r="I33" s="99" t="str">
        <f>'Stavební rozpočet'!I116</f>
        <v> </v>
      </c>
      <c r="J33" s="99" t="str">
        <f>'Stavební rozpočet'!J116</f>
        <v> </v>
      </c>
      <c r="K33" s="41">
        <f>'Stavební rozpočet'!K116</f>
        <v>0</v>
      </c>
      <c r="L33" s="105">
        <f>'Stavební rozpočet'!M116</f>
        <v>0.00914</v>
      </c>
      <c r="M33" s="41" t="s">
        <v>128</v>
      </c>
      <c r="N33" s="41">
        <f t="shared" si="0"/>
        <v>0</v>
      </c>
      <c r="O33" s="14"/>
      <c r="P33" s="41">
        <f t="shared" si="1"/>
        <v>0</v>
      </c>
    </row>
    <row r="34" spans="1:16" ht="12">
      <c r="A34" s="106"/>
      <c r="B34" s="34" t="s">
        <v>95</v>
      </c>
      <c r="C34" s="235" t="s">
        <v>119</v>
      </c>
      <c r="D34" s="170"/>
      <c r="E34" s="170"/>
      <c r="F34" s="170"/>
      <c r="G34" s="170"/>
      <c r="H34" s="170"/>
      <c r="I34" s="100" t="str">
        <f>'Stavební rozpočet'!I133</f>
        <v> </v>
      </c>
      <c r="J34" s="100" t="str">
        <f>'Stavební rozpočet'!J133</f>
        <v> </v>
      </c>
      <c r="K34" s="42">
        <f>'Stavební rozpočet'!K133</f>
        <v>0</v>
      </c>
      <c r="L34" s="107">
        <f>'Stavební rozpočet'!M133</f>
        <v>0</v>
      </c>
      <c r="M34" s="41" t="s">
        <v>128</v>
      </c>
      <c r="N34" s="41">
        <f t="shared" si="0"/>
        <v>0</v>
      </c>
      <c r="O34" s="14"/>
      <c r="P34" s="41">
        <f t="shared" si="1"/>
        <v>0</v>
      </c>
    </row>
    <row r="35" spans="1:12" ht="18">
      <c r="A35" s="82"/>
      <c r="B35" s="3"/>
      <c r="C35" s="3"/>
      <c r="D35" s="3"/>
      <c r="E35" s="3"/>
      <c r="F35" s="3"/>
      <c r="G35" s="3"/>
      <c r="H35" s="3"/>
      <c r="I35" s="236" t="s">
        <v>124</v>
      </c>
      <c r="J35" s="160"/>
      <c r="K35" s="101">
        <f>SUM(N12:N34)</f>
        <v>0</v>
      </c>
      <c r="L35" s="86"/>
    </row>
    <row r="36" spans="1:12" ht="11.25" customHeight="1">
      <c r="A36" s="108" t="s">
        <v>18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09"/>
    </row>
    <row r="37" spans="1:12" ht="12.75" thickBot="1">
      <c r="A37" s="237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4"/>
    </row>
  </sheetData>
  <sheetProtection password="C168" sheet="1" objects="1" scenarios="1"/>
  <mergeCells count="53">
    <mergeCell ref="C33:H33"/>
    <mergeCell ref="C34:H34"/>
    <mergeCell ref="I35:J35"/>
    <mergeCell ref="A37:L37"/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15:H15"/>
    <mergeCell ref="C16:H16"/>
    <mergeCell ref="C17:H17"/>
    <mergeCell ref="C18:H18"/>
    <mergeCell ref="C19:H19"/>
    <mergeCell ref="C20:H20"/>
    <mergeCell ref="C10:H10"/>
    <mergeCell ref="I10:K10"/>
    <mergeCell ref="C11:H11"/>
    <mergeCell ref="C12:H12"/>
    <mergeCell ref="C13:H13"/>
    <mergeCell ref="C14:H14"/>
    <mergeCell ref="A8:C9"/>
    <mergeCell ref="D8:F9"/>
    <mergeCell ref="G8:G9"/>
    <mergeCell ref="H8:H9"/>
    <mergeCell ref="I8:I9"/>
    <mergeCell ref="J8:L9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J4:L5"/>
    <mergeCell ref="A1:L1"/>
    <mergeCell ref="A2:C3"/>
    <mergeCell ref="D2:F3"/>
    <mergeCell ref="G2:G3"/>
    <mergeCell ref="H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7"/>
  <sheetViews>
    <sheetView tabSelected="1" zoomScalePageLayoutView="0" workbookViewId="0" topLeftCell="A1">
      <pane ySplit="11" topLeftCell="A26" activePane="bottomLeft" state="frozen"/>
      <selection pane="topLeft" activeCell="A1" sqref="A1"/>
      <selection pane="bottomLeft" activeCell="D36" sqref="D36:E36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7.7109375" style="0" customWidth="1"/>
    <col min="4" max="4" width="1.421875" style="0" customWidth="1"/>
    <col min="5" max="5" width="71.00390625" style="0" customWidth="1"/>
    <col min="6" max="6" width="6.421875" style="0" customWidth="1"/>
    <col min="7" max="7" width="12.8515625" style="0" customWidth="1"/>
    <col min="8" max="8" width="12.00390625" style="0" customWidth="1"/>
    <col min="9" max="9" width="8.7109375" style="0" customWidth="1"/>
    <col min="10" max="10" width="9.00390625" style="0" customWidth="1"/>
    <col min="11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238" t="s">
        <v>129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2">
      <c r="A2" s="240" t="s">
        <v>0</v>
      </c>
      <c r="B2" s="156"/>
      <c r="C2" s="156"/>
      <c r="D2" s="159" t="s">
        <v>342</v>
      </c>
      <c r="E2" s="160"/>
      <c r="F2" s="242" t="s">
        <v>120</v>
      </c>
      <c r="G2" s="156"/>
      <c r="H2" s="243" t="s">
        <v>71</v>
      </c>
      <c r="I2" s="162" t="s">
        <v>32</v>
      </c>
      <c r="J2" s="242" t="s">
        <v>468</v>
      </c>
      <c r="K2" s="156"/>
      <c r="L2" s="156"/>
      <c r="M2" s="156"/>
      <c r="N2" s="245"/>
      <c r="O2" s="15"/>
    </row>
    <row r="3" spans="1:15" ht="12">
      <c r="A3" s="241"/>
      <c r="B3" s="158"/>
      <c r="C3" s="158"/>
      <c r="D3" s="161"/>
      <c r="E3" s="161"/>
      <c r="F3" s="158"/>
      <c r="G3" s="158"/>
      <c r="H3" s="244"/>
      <c r="I3" s="158"/>
      <c r="J3" s="158"/>
      <c r="K3" s="158"/>
      <c r="L3" s="158"/>
      <c r="M3" s="158"/>
      <c r="N3" s="246"/>
      <c r="O3" s="15"/>
    </row>
    <row r="4" spans="1:15" ht="12">
      <c r="A4" s="247" t="s">
        <v>1</v>
      </c>
      <c r="B4" s="158"/>
      <c r="C4" s="158"/>
      <c r="D4" s="166" t="s">
        <v>343</v>
      </c>
      <c r="E4" s="158"/>
      <c r="F4" s="168" t="s">
        <v>3</v>
      </c>
      <c r="G4" s="158"/>
      <c r="H4" s="248" t="s">
        <v>71</v>
      </c>
      <c r="I4" s="166" t="s">
        <v>33</v>
      </c>
      <c r="J4" s="166" t="s">
        <v>469</v>
      </c>
      <c r="K4" s="158"/>
      <c r="L4" s="158"/>
      <c r="M4" s="158"/>
      <c r="N4" s="246"/>
      <c r="O4" s="15"/>
    </row>
    <row r="5" spans="1:15" ht="12">
      <c r="A5" s="241"/>
      <c r="B5" s="158"/>
      <c r="C5" s="158"/>
      <c r="D5" s="158"/>
      <c r="E5" s="158"/>
      <c r="F5" s="158"/>
      <c r="G5" s="158"/>
      <c r="H5" s="244"/>
      <c r="I5" s="158"/>
      <c r="J5" s="158"/>
      <c r="K5" s="158"/>
      <c r="L5" s="158"/>
      <c r="M5" s="158"/>
      <c r="N5" s="246"/>
      <c r="O5" s="15"/>
    </row>
    <row r="6" spans="1:15" ht="12">
      <c r="A6" s="247" t="s">
        <v>2</v>
      </c>
      <c r="B6" s="158"/>
      <c r="C6" s="158"/>
      <c r="D6" s="166" t="s">
        <v>344</v>
      </c>
      <c r="E6" s="158"/>
      <c r="F6" s="168" t="s">
        <v>35</v>
      </c>
      <c r="G6" s="158"/>
      <c r="H6" s="248" t="s">
        <v>71</v>
      </c>
      <c r="I6" s="166" t="s">
        <v>34</v>
      </c>
      <c r="J6" s="248" t="s">
        <v>468</v>
      </c>
      <c r="K6" s="244"/>
      <c r="L6" s="244"/>
      <c r="M6" s="244"/>
      <c r="N6" s="249"/>
      <c r="O6" s="15"/>
    </row>
    <row r="7" spans="1:15" ht="12">
      <c r="A7" s="241"/>
      <c r="B7" s="158"/>
      <c r="C7" s="158"/>
      <c r="D7" s="158"/>
      <c r="E7" s="158"/>
      <c r="F7" s="158"/>
      <c r="G7" s="158"/>
      <c r="H7" s="244"/>
      <c r="I7" s="158"/>
      <c r="J7" s="244"/>
      <c r="K7" s="244"/>
      <c r="L7" s="244"/>
      <c r="M7" s="244"/>
      <c r="N7" s="249"/>
      <c r="O7" s="15"/>
    </row>
    <row r="8" spans="1:15" ht="12">
      <c r="A8" s="247" t="s">
        <v>4</v>
      </c>
      <c r="B8" s="158"/>
      <c r="C8" s="158"/>
      <c r="D8" s="166" t="s">
        <v>71</v>
      </c>
      <c r="E8" s="158"/>
      <c r="F8" s="168" t="s">
        <v>121</v>
      </c>
      <c r="G8" s="158"/>
      <c r="H8" s="248" t="s">
        <v>532</v>
      </c>
      <c r="I8" s="166" t="s">
        <v>36</v>
      </c>
      <c r="J8" s="252">
        <v>0</v>
      </c>
      <c r="K8" s="244"/>
      <c r="L8" s="244"/>
      <c r="M8" s="244"/>
      <c r="N8" s="249"/>
      <c r="O8" s="15"/>
    </row>
    <row r="9" spans="1:15" ht="12">
      <c r="A9" s="250"/>
      <c r="B9" s="223"/>
      <c r="C9" s="223"/>
      <c r="D9" s="223"/>
      <c r="E9" s="223"/>
      <c r="F9" s="223"/>
      <c r="G9" s="223"/>
      <c r="H9" s="251"/>
      <c r="I9" s="223"/>
      <c r="J9" s="251"/>
      <c r="K9" s="251"/>
      <c r="L9" s="251"/>
      <c r="M9" s="251"/>
      <c r="N9" s="253"/>
      <c r="O9" s="15"/>
    </row>
    <row r="10" spans="1:64" ht="12.75">
      <c r="A10" s="43" t="s">
        <v>130</v>
      </c>
      <c r="B10" s="47" t="s">
        <v>72</v>
      </c>
      <c r="C10" s="47" t="s">
        <v>73</v>
      </c>
      <c r="D10" s="254" t="s">
        <v>96</v>
      </c>
      <c r="E10" s="255"/>
      <c r="F10" s="47" t="s">
        <v>455</v>
      </c>
      <c r="G10" s="53" t="s">
        <v>465</v>
      </c>
      <c r="H10" s="56" t="s">
        <v>466</v>
      </c>
      <c r="I10" s="228" t="s">
        <v>122</v>
      </c>
      <c r="J10" s="229"/>
      <c r="K10" s="230"/>
      <c r="L10" s="228" t="s">
        <v>126</v>
      </c>
      <c r="M10" s="230"/>
      <c r="N10" s="60" t="s">
        <v>471</v>
      </c>
      <c r="O10" s="16"/>
      <c r="BK10" s="59" t="s">
        <v>516</v>
      </c>
      <c r="BL10" s="67" t="s">
        <v>519</v>
      </c>
    </row>
    <row r="11" spans="1:62" ht="13.5" thickBot="1">
      <c r="A11" s="44" t="s">
        <v>71</v>
      </c>
      <c r="B11" s="48" t="s">
        <v>71</v>
      </c>
      <c r="C11" s="48" t="s">
        <v>71</v>
      </c>
      <c r="D11" s="256" t="s">
        <v>587</v>
      </c>
      <c r="E11" s="257"/>
      <c r="F11" s="48" t="s">
        <v>71</v>
      </c>
      <c r="G11" s="48" t="s">
        <v>71</v>
      </c>
      <c r="H11" s="57" t="s">
        <v>467</v>
      </c>
      <c r="I11" s="35" t="s">
        <v>123</v>
      </c>
      <c r="J11" s="36" t="s">
        <v>21</v>
      </c>
      <c r="K11" s="37" t="s">
        <v>125</v>
      </c>
      <c r="L11" s="35" t="s">
        <v>470</v>
      </c>
      <c r="M11" s="37" t="s">
        <v>125</v>
      </c>
      <c r="N11" s="61" t="s">
        <v>472</v>
      </c>
      <c r="O11" s="16"/>
      <c r="Z11" s="59" t="s">
        <v>473</v>
      </c>
      <c r="AA11" s="59" t="s">
        <v>474</v>
      </c>
      <c r="AB11" s="59" t="s">
        <v>475</v>
      </c>
      <c r="AC11" s="59" t="s">
        <v>476</v>
      </c>
      <c r="AD11" s="59" t="s">
        <v>477</v>
      </c>
      <c r="AE11" s="59" t="s">
        <v>478</v>
      </c>
      <c r="AF11" s="59" t="s">
        <v>479</v>
      </c>
      <c r="AG11" s="59" t="s">
        <v>480</v>
      </c>
      <c r="AH11" s="59" t="s">
        <v>481</v>
      </c>
      <c r="BH11" s="59" t="s">
        <v>513</v>
      </c>
      <c r="BI11" s="59" t="s">
        <v>514</v>
      </c>
      <c r="BJ11" s="59" t="s">
        <v>515</v>
      </c>
    </row>
    <row r="12" spans="1:15" ht="12.75">
      <c r="A12" s="45"/>
      <c r="B12" s="49"/>
      <c r="C12" s="49"/>
      <c r="D12" s="258"/>
      <c r="E12" s="258"/>
      <c r="F12" s="51"/>
      <c r="G12" s="51"/>
      <c r="H12" s="51"/>
      <c r="I12" s="68"/>
      <c r="J12" s="68"/>
      <c r="K12" s="68"/>
      <c r="L12" s="58"/>
      <c r="M12" s="68"/>
      <c r="N12" s="62"/>
      <c r="O12" s="15"/>
    </row>
    <row r="13" spans="1:47" ht="12.75">
      <c r="A13" s="46"/>
      <c r="B13" s="50"/>
      <c r="C13" s="50" t="s">
        <v>74</v>
      </c>
      <c r="D13" s="259" t="s">
        <v>98</v>
      </c>
      <c r="E13" s="260"/>
      <c r="F13" s="52" t="s">
        <v>71</v>
      </c>
      <c r="G13" s="52" t="s">
        <v>71</v>
      </c>
      <c r="H13" s="52" t="s">
        <v>71</v>
      </c>
      <c r="I13" s="52" t="s">
        <v>71</v>
      </c>
      <c r="J13" s="52" t="s">
        <v>71</v>
      </c>
      <c r="K13" s="69">
        <f>SUM(K14:K15)</f>
        <v>0</v>
      </c>
      <c r="L13" s="59"/>
      <c r="M13" s="69">
        <f>SUM(M14:M15)</f>
        <v>2.8241733499999997</v>
      </c>
      <c r="N13" s="63"/>
      <c r="O13" s="15"/>
      <c r="AI13" s="59"/>
      <c r="AS13" s="69">
        <f>SUM(AJ14:AJ15)</f>
        <v>0</v>
      </c>
      <c r="AT13" s="69">
        <f>SUM(AK14:AK15)</f>
        <v>0</v>
      </c>
      <c r="AU13" s="69">
        <f>SUM(AL14:AL15)</f>
        <v>0</v>
      </c>
    </row>
    <row r="14" spans="1:64" ht="30" customHeight="1">
      <c r="A14" s="110" t="s">
        <v>131</v>
      </c>
      <c r="B14" s="130"/>
      <c r="C14" s="130" t="s">
        <v>232</v>
      </c>
      <c r="D14" s="261" t="s">
        <v>345</v>
      </c>
      <c r="E14" s="262"/>
      <c r="F14" s="111" t="s">
        <v>456</v>
      </c>
      <c r="G14" s="112">
        <v>28.32</v>
      </c>
      <c r="H14" s="134">
        <v>0</v>
      </c>
      <c r="I14" s="137">
        <f>G14*AO14</f>
        <v>0</v>
      </c>
      <c r="J14" s="137">
        <f>G14*AP14</f>
        <v>0</v>
      </c>
      <c r="K14" s="112">
        <f>G14*H14</f>
        <v>0</v>
      </c>
      <c r="L14" s="112">
        <v>0.05281</v>
      </c>
      <c r="M14" s="112">
        <f>G14*L14</f>
        <v>1.4955792</v>
      </c>
      <c r="N14" s="113" t="s">
        <v>585</v>
      </c>
      <c r="O14" s="15"/>
      <c r="Z14" s="41">
        <f>IF(AQ14="5",BJ14,0)</f>
        <v>0</v>
      </c>
      <c r="AB14" s="41">
        <f>IF(AQ14="1",BH14,0)</f>
        <v>0</v>
      </c>
      <c r="AC14" s="41">
        <f>IF(AQ14="1",BI14,0)</f>
        <v>0</v>
      </c>
      <c r="AD14" s="41">
        <f>IF(AQ14="7",BH14,0)</f>
        <v>0</v>
      </c>
      <c r="AE14" s="41">
        <f>IF(AQ14="7",BI14,0)</f>
        <v>0</v>
      </c>
      <c r="AF14" s="41">
        <f>IF(AQ14="2",BH14,0)</f>
        <v>0</v>
      </c>
      <c r="AG14" s="41">
        <f>IF(AQ14="2",BI14,0)</f>
        <v>0</v>
      </c>
      <c r="AH14" s="41">
        <f>IF(AQ14="0",BJ14,0)</f>
        <v>0</v>
      </c>
      <c r="AI14" s="59"/>
      <c r="AJ14" s="54">
        <f>IF(AN14=0,K14,0)</f>
        <v>0</v>
      </c>
      <c r="AK14" s="54">
        <f>IF(AN14=15,K14,0)</f>
        <v>0</v>
      </c>
      <c r="AL14" s="54">
        <f>IF(AN14=21,K14,0)</f>
        <v>0</v>
      </c>
      <c r="AN14" s="41">
        <v>21</v>
      </c>
      <c r="AO14" s="41">
        <f>H14*0.503072546230441</f>
        <v>0</v>
      </c>
      <c r="AP14" s="41">
        <f>H14*(1-0.503072546230441)</f>
        <v>0</v>
      </c>
      <c r="AQ14" s="64" t="s">
        <v>131</v>
      </c>
      <c r="AV14" s="41">
        <f>AW14+AX14</f>
        <v>0</v>
      </c>
      <c r="AW14" s="41">
        <f>G14*AO14</f>
        <v>0</v>
      </c>
      <c r="AX14" s="41">
        <f>G14*AP14</f>
        <v>0</v>
      </c>
      <c r="AY14" s="66" t="s">
        <v>482</v>
      </c>
      <c r="AZ14" s="66" t="s">
        <v>504</v>
      </c>
      <c r="BA14" s="59" t="s">
        <v>512</v>
      </c>
      <c r="BC14" s="41">
        <f>AW14+AX14</f>
        <v>0</v>
      </c>
      <c r="BD14" s="41">
        <f>H14/(100-BE14)*100</f>
        <v>0</v>
      </c>
      <c r="BE14" s="41">
        <v>0</v>
      </c>
      <c r="BF14" s="41">
        <f>M14</f>
        <v>1.4955792</v>
      </c>
      <c r="BH14" s="54">
        <f>G14*AO14</f>
        <v>0</v>
      </c>
      <c r="BI14" s="54">
        <f>G14*AP14</f>
        <v>0</v>
      </c>
      <c r="BJ14" s="54">
        <f>G14*H14</f>
        <v>0</v>
      </c>
      <c r="BK14" s="54" t="s">
        <v>517</v>
      </c>
      <c r="BL14" s="41">
        <v>34</v>
      </c>
    </row>
    <row r="15" spans="1:64" ht="30" customHeight="1">
      <c r="A15" s="110" t="s">
        <v>132</v>
      </c>
      <c r="B15" s="130"/>
      <c r="C15" s="130" t="s">
        <v>233</v>
      </c>
      <c r="D15" s="261" t="s">
        <v>346</v>
      </c>
      <c r="E15" s="262"/>
      <c r="F15" s="111" t="s">
        <v>456</v>
      </c>
      <c r="G15" s="112">
        <v>2.405</v>
      </c>
      <c r="H15" s="134">
        <v>0</v>
      </c>
      <c r="I15" s="137">
        <f>G15*AO15</f>
        <v>0</v>
      </c>
      <c r="J15" s="137">
        <f>G15*AP15</f>
        <v>0</v>
      </c>
      <c r="K15" s="112">
        <f>G15*H15</f>
        <v>0</v>
      </c>
      <c r="L15" s="112">
        <v>0.55243</v>
      </c>
      <c r="M15" s="112">
        <f>G15*L15</f>
        <v>1.3285941499999998</v>
      </c>
      <c r="N15" s="113" t="s">
        <v>585</v>
      </c>
      <c r="O15" s="15"/>
      <c r="Z15" s="41">
        <f>IF(AQ15="5",BJ15,0)</f>
        <v>0</v>
      </c>
      <c r="AB15" s="41">
        <f>IF(AQ15="1",BH15,0)</f>
        <v>0</v>
      </c>
      <c r="AC15" s="41">
        <f>IF(AQ15="1",BI15,0)</f>
        <v>0</v>
      </c>
      <c r="AD15" s="41">
        <f>IF(AQ15="7",BH15,0)</f>
        <v>0</v>
      </c>
      <c r="AE15" s="41">
        <f>IF(AQ15="7",BI15,0)</f>
        <v>0</v>
      </c>
      <c r="AF15" s="41">
        <f>IF(AQ15="2",BH15,0)</f>
        <v>0</v>
      </c>
      <c r="AG15" s="41">
        <f>IF(AQ15="2",BI15,0)</f>
        <v>0</v>
      </c>
      <c r="AH15" s="41">
        <f>IF(AQ15="0",BJ15,0)</f>
        <v>0</v>
      </c>
      <c r="AI15" s="59"/>
      <c r="AJ15" s="54">
        <f>IF(AN15=0,K15,0)</f>
        <v>0</v>
      </c>
      <c r="AK15" s="54">
        <f>IF(AN15=15,K15,0)</f>
        <v>0</v>
      </c>
      <c r="AL15" s="54">
        <f>IF(AN15=21,K15,0)</f>
        <v>0</v>
      </c>
      <c r="AN15" s="41">
        <v>21</v>
      </c>
      <c r="AO15" s="41">
        <f>H15*0.382274485364286</f>
        <v>0</v>
      </c>
      <c r="AP15" s="41">
        <f>H15*(1-0.382274485364286)</f>
        <v>0</v>
      </c>
      <c r="AQ15" s="64" t="s">
        <v>131</v>
      </c>
      <c r="AV15" s="41">
        <f>AW15+AX15</f>
        <v>0</v>
      </c>
      <c r="AW15" s="41">
        <f>G15*AO15</f>
        <v>0</v>
      </c>
      <c r="AX15" s="41">
        <f>G15*AP15</f>
        <v>0</v>
      </c>
      <c r="AY15" s="66" t="s">
        <v>482</v>
      </c>
      <c r="AZ15" s="66" t="s">
        <v>504</v>
      </c>
      <c r="BA15" s="59" t="s">
        <v>512</v>
      </c>
      <c r="BC15" s="41">
        <f>AW15+AX15</f>
        <v>0</v>
      </c>
      <c r="BD15" s="41">
        <f>H15/(100-BE15)*100</f>
        <v>0</v>
      </c>
      <c r="BE15" s="41">
        <v>0</v>
      </c>
      <c r="BF15" s="41">
        <f>M15</f>
        <v>1.3285941499999998</v>
      </c>
      <c r="BH15" s="54">
        <f>G15*AO15</f>
        <v>0</v>
      </c>
      <c r="BI15" s="54">
        <f>G15*AP15</f>
        <v>0</v>
      </c>
      <c r="BJ15" s="54">
        <f>G15*H15</f>
        <v>0</v>
      </c>
      <c r="BK15" s="54" t="s">
        <v>517</v>
      </c>
      <c r="BL15" s="41">
        <v>34</v>
      </c>
    </row>
    <row r="16" spans="1:47" ht="30" customHeight="1">
      <c r="A16" s="114"/>
      <c r="B16" s="131"/>
      <c r="C16" s="131" t="s">
        <v>75</v>
      </c>
      <c r="D16" s="263" t="s">
        <v>99</v>
      </c>
      <c r="E16" s="264"/>
      <c r="F16" s="116" t="s">
        <v>71</v>
      </c>
      <c r="G16" s="116" t="s">
        <v>71</v>
      </c>
      <c r="H16" s="116" t="s">
        <v>71</v>
      </c>
      <c r="I16" s="138" t="s">
        <v>71</v>
      </c>
      <c r="J16" s="138" t="s">
        <v>71</v>
      </c>
      <c r="K16" s="117">
        <f>SUM(K17:K20)</f>
        <v>0</v>
      </c>
      <c r="L16" s="118"/>
      <c r="M16" s="117">
        <f>SUM(M17:M20)</f>
        <v>7.116639200000001</v>
      </c>
      <c r="N16" s="119"/>
      <c r="O16" s="15"/>
      <c r="AI16" s="59"/>
      <c r="AS16" s="69">
        <f>SUM(AJ17:AJ20)</f>
        <v>0</v>
      </c>
      <c r="AT16" s="69">
        <f>SUM(AK17:AK20)</f>
        <v>0</v>
      </c>
      <c r="AU16" s="69">
        <f>SUM(AL17:AL20)</f>
        <v>0</v>
      </c>
    </row>
    <row r="17" spans="1:64" ht="30" customHeight="1">
      <c r="A17" s="110" t="s">
        <v>133</v>
      </c>
      <c r="B17" s="130"/>
      <c r="C17" s="130" t="s">
        <v>234</v>
      </c>
      <c r="D17" s="261" t="s">
        <v>347</v>
      </c>
      <c r="E17" s="262"/>
      <c r="F17" s="111" t="s">
        <v>456</v>
      </c>
      <c r="G17" s="112">
        <v>61.34</v>
      </c>
      <c r="H17" s="134">
        <v>0</v>
      </c>
      <c r="I17" s="137">
        <f>G17*AO17</f>
        <v>0</v>
      </c>
      <c r="J17" s="137">
        <f>G17*AP17</f>
        <v>0</v>
      </c>
      <c r="K17" s="112">
        <f>G17*H17</f>
        <v>0</v>
      </c>
      <c r="L17" s="112">
        <v>0.09388</v>
      </c>
      <c r="M17" s="112">
        <f>G17*L17</f>
        <v>5.758599200000001</v>
      </c>
      <c r="N17" s="113" t="s">
        <v>585</v>
      </c>
      <c r="O17" s="15"/>
      <c r="Z17" s="41">
        <f>IF(AQ17="5",BJ17,0)</f>
        <v>0</v>
      </c>
      <c r="AB17" s="41">
        <f>IF(AQ17="1",BH17,0)</f>
        <v>0</v>
      </c>
      <c r="AC17" s="41">
        <f>IF(AQ17="1",BI17,0)</f>
        <v>0</v>
      </c>
      <c r="AD17" s="41">
        <f>IF(AQ17="7",BH17,0)</f>
        <v>0</v>
      </c>
      <c r="AE17" s="41">
        <f>IF(AQ17="7",BI17,0)</f>
        <v>0</v>
      </c>
      <c r="AF17" s="41">
        <f>IF(AQ17="2",BH17,0)</f>
        <v>0</v>
      </c>
      <c r="AG17" s="41">
        <f>IF(AQ17="2",BI17,0)</f>
        <v>0</v>
      </c>
      <c r="AH17" s="41">
        <f>IF(AQ17="0",BJ17,0)</f>
        <v>0</v>
      </c>
      <c r="AI17" s="59"/>
      <c r="AJ17" s="54">
        <f>IF(AN17=0,K17,0)</f>
        <v>0</v>
      </c>
      <c r="AK17" s="54">
        <f>IF(AN17=15,K17,0)</f>
        <v>0</v>
      </c>
      <c r="AL17" s="54">
        <f>IF(AN17=21,K17,0)</f>
        <v>0</v>
      </c>
      <c r="AN17" s="41">
        <v>21</v>
      </c>
      <c r="AO17" s="41">
        <f>H17*0.079958158764122</f>
        <v>0</v>
      </c>
      <c r="AP17" s="41">
        <f>H17*(1-0.079958158764122)</f>
        <v>0</v>
      </c>
      <c r="AQ17" s="64" t="s">
        <v>131</v>
      </c>
      <c r="AV17" s="41">
        <f>AW17+AX17</f>
        <v>0</v>
      </c>
      <c r="AW17" s="41">
        <f>G17*AO17</f>
        <v>0</v>
      </c>
      <c r="AX17" s="41">
        <f>G17*AP17</f>
        <v>0</v>
      </c>
      <c r="AY17" s="66" t="s">
        <v>483</v>
      </c>
      <c r="AZ17" s="66" t="s">
        <v>505</v>
      </c>
      <c r="BA17" s="59" t="s">
        <v>512</v>
      </c>
      <c r="BC17" s="41">
        <f>AW17+AX17</f>
        <v>0</v>
      </c>
      <c r="BD17" s="41">
        <f>H17/(100-BE17)*100</f>
        <v>0</v>
      </c>
      <c r="BE17" s="41">
        <v>0</v>
      </c>
      <c r="BF17" s="41">
        <f>M17</f>
        <v>5.758599200000001</v>
      </c>
      <c r="BH17" s="54">
        <f>G17*AO17</f>
        <v>0</v>
      </c>
      <c r="BI17" s="54">
        <f>G17*AP17</f>
        <v>0</v>
      </c>
      <c r="BJ17" s="54">
        <f>G17*H17</f>
        <v>0</v>
      </c>
      <c r="BK17" s="54" t="s">
        <v>517</v>
      </c>
      <c r="BL17" s="41">
        <v>61</v>
      </c>
    </row>
    <row r="18" spans="1:64" ht="30" customHeight="1">
      <c r="A18" s="110" t="s">
        <v>134</v>
      </c>
      <c r="B18" s="130"/>
      <c r="C18" s="130" t="s">
        <v>235</v>
      </c>
      <c r="D18" s="261" t="s">
        <v>348</v>
      </c>
      <c r="E18" s="262"/>
      <c r="F18" s="111" t="s">
        <v>457</v>
      </c>
      <c r="G18" s="112">
        <v>18</v>
      </c>
      <c r="H18" s="134">
        <v>0</v>
      </c>
      <c r="I18" s="137">
        <f>G18*AO18</f>
        <v>0</v>
      </c>
      <c r="J18" s="137">
        <f>G18*AP18</f>
        <v>0</v>
      </c>
      <c r="K18" s="112">
        <f>G18*H18</f>
        <v>0</v>
      </c>
      <c r="L18" s="112">
        <v>0.00371</v>
      </c>
      <c r="M18" s="112">
        <f>G18*L18</f>
        <v>0.06678</v>
      </c>
      <c r="N18" s="113" t="s">
        <v>585</v>
      </c>
      <c r="O18" s="15"/>
      <c r="Z18" s="41">
        <f>IF(AQ18="5",BJ18,0)</f>
        <v>0</v>
      </c>
      <c r="AB18" s="41">
        <f>IF(AQ18="1",BH18,0)</f>
        <v>0</v>
      </c>
      <c r="AC18" s="41">
        <f>IF(AQ18="1",BI18,0)</f>
        <v>0</v>
      </c>
      <c r="AD18" s="41">
        <f>IF(AQ18="7",BH18,0)</f>
        <v>0</v>
      </c>
      <c r="AE18" s="41">
        <f>IF(AQ18="7",BI18,0)</f>
        <v>0</v>
      </c>
      <c r="AF18" s="41">
        <f>IF(AQ18="2",BH18,0)</f>
        <v>0</v>
      </c>
      <c r="AG18" s="41">
        <f>IF(AQ18="2",BI18,0)</f>
        <v>0</v>
      </c>
      <c r="AH18" s="41">
        <f>IF(AQ18="0",BJ18,0)</f>
        <v>0</v>
      </c>
      <c r="AI18" s="59"/>
      <c r="AJ18" s="54">
        <f>IF(AN18=0,K18,0)</f>
        <v>0</v>
      </c>
      <c r="AK18" s="54">
        <f>IF(AN18=15,K18,0)</f>
        <v>0</v>
      </c>
      <c r="AL18" s="54">
        <f>IF(AN18=21,K18,0)</f>
        <v>0</v>
      </c>
      <c r="AN18" s="41">
        <v>21</v>
      </c>
      <c r="AO18" s="41">
        <f>H18*0.0426273759982004</f>
        <v>0</v>
      </c>
      <c r="AP18" s="41">
        <f>H18*(1-0.0426273759982004)</f>
        <v>0</v>
      </c>
      <c r="AQ18" s="64" t="s">
        <v>131</v>
      </c>
      <c r="AV18" s="41">
        <f>AW18+AX18</f>
        <v>0</v>
      </c>
      <c r="AW18" s="41">
        <f>G18*AO18</f>
        <v>0</v>
      </c>
      <c r="AX18" s="41">
        <f>G18*AP18</f>
        <v>0</v>
      </c>
      <c r="AY18" s="66" t="s">
        <v>483</v>
      </c>
      <c r="AZ18" s="66" t="s">
        <v>505</v>
      </c>
      <c r="BA18" s="59" t="s">
        <v>512</v>
      </c>
      <c r="BC18" s="41">
        <f>AW18+AX18</f>
        <v>0</v>
      </c>
      <c r="BD18" s="41">
        <f>H18/(100-BE18)*100</f>
        <v>0</v>
      </c>
      <c r="BE18" s="41">
        <v>0</v>
      </c>
      <c r="BF18" s="41">
        <f>M18</f>
        <v>0.06678</v>
      </c>
      <c r="BH18" s="54">
        <f>G18*AO18</f>
        <v>0</v>
      </c>
      <c r="BI18" s="54">
        <f>G18*AP18</f>
        <v>0</v>
      </c>
      <c r="BJ18" s="54">
        <f>G18*H18</f>
        <v>0</v>
      </c>
      <c r="BK18" s="54" t="s">
        <v>517</v>
      </c>
      <c r="BL18" s="41">
        <v>61</v>
      </c>
    </row>
    <row r="19" spans="1:64" ht="30" customHeight="1">
      <c r="A19" s="110" t="s">
        <v>135</v>
      </c>
      <c r="B19" s="130"/>
      <c r="C19" s="130" t="s">
        <v>236</v>
      </c>
      <c r="D19" s="261" t="s">
        <v>349</v>
      </c>
      <c r="E19" s="262"/>
      <c r="F19" s="111" t="s">
        <v>457</v>
      </c>
      <c r="G19" s="112">
        <v>32</v>
      </c>
      <c r="H19" s="134">
        <v>0</v>
      </c>
      <c r="I19" s="137">
        <f>G19*AO19</f>
        <v>0</v>
      </c>
      <c r="J19" s="137">
        <f>G19*AP19</f>
        <v>0</v>
      </c>
      <c r="K19" s="112">
        <f>G19*H19</f>
        <v>0</v>
      </c>
      <c r="L19" s="112">
        <v>0.03898</v>
      </c>
      <c r="M19" s="112">
        <f>G19*L19</f>
        <v>1.24736</v>
      </c>
      <c r="N19" s="113" t="s">
        <v>585</v>
      </c>
      <c r="O19" s="15"/>
      <c r="Z19" s="41">
        <f>IF(AQ19="5",BJ19,0)</f>
        <v>0</v>
      </c>
      <c r="AB19" s="41">
        <f>IF(AQ19="1",BH19,0)</f>
        <v>0</v>
      </c>
      <c r="AC19" s="41">
        <f>IF(AQ19="1",BI19,0)</f>
        <v>0</v>
      </c>
      <c r="AD19" s="41">
        <f>IF(AQ19="7",BH19,0)</f>
        <v>0</v>
      </c>
      <c r="AE19" s="41">
        <f>IF(AQ19="7",BI19,0)</f>
        <v>0</v>
      </c>
      <c r="AF19" s="41">
        <f>IF(AQ19="2",BH19,0)</f>
        <v>0</v>
      </c>
      <c r="AG19" s="41">
        <f>IF(AQ19="2",BI19,0)</f>
        <v>0</v>
      </c>
      <c r="AH19" s="41">
        <f>IF(AQ19="0",BJ19,0)</f>
        <v>0</v>
      </c>
      <c r="AI19" s="59"/>
      <c r="AJ19" s="54">
        <f>IF(AN19=0,K19,0)</f>
        <v>0</v>
      </c>
      <c r="AK19" s="54">
        <f>IF(AN19=15,K19,0)</f>
        <v>0</v>
      </c>
      <c r="AL19" s="54">
        <f>IF(AN19=21,K19,0)</f>
        <v>0</v>
      </c>
      <c r="AN19" s="41">
        <v>21</v>
      </c>
      <c r="AO19" s="41">
        <f>H19*0.561716866447078</f>
        <v>0</v>
      </c>
      <c r="AP19" s="41">
        <f>H19*(1-0.561716866447078)</f>
        <v>0</v>
      </c>
      <c r="AQ19" s="64" t="s">
        <v>131</v>
      </c>
      <c r="AV19" s="41">
        <f>AW19+AX19</f>
        <v>0</v>
      </c>
      <c r="AW19" s="41">
        <f>G19*AO19</f>
        <v>0</v>
      </c>
      <c r="AX19" s="41">
        <f>G19*AP19</f>
        <v>0</v>
      </c>
      <c r="AY19" s="66" t="s">
        <v>483</v>
      </c>
      <c r="AZ19" s="66" t="s">
        <v>505</v>
      </c>
      <c r="BA19" s="59" t="s">
        <v>512</v>
      </c>
      <c r="BC19" s="41">
        <f>AW19+AX19</f>
        <v>0</v>
      </c>
      <c r="BD19" s="41">
        <f>H19/(100-BE19)*100</f>
        <v>0</v>
      </c>
      <c r="BE19" s="41">
        <v>0</v>
      </c>
      <c r="BF19" s="41">
        <f>M19</f>
        <v>1.24736</v>
      </c>
      <c r="BH19" s="54">
        <f>G19*AO19</f>
        <v>0</v>
      </c>
      <c r="BI19" s="54">
        <f>G19*AP19</f>
        <v>0</v>
      </c>
      <c r="BJ19" s="54">
        <f>G19*H19</f>
        <v>0</v>
      </c>
      <c r="BK19" s="54" t="s">
        <v>517</v>
      </c>
      <c r="BL19" s="41">
        <v>61</v>
      </c>
    </row>
    <row r="20" spans="1:64" ht="30" customHeight="1">
      <c r="A20" s="110" t="s">
        <v>136</v>
      </c>
      <c r="B20" s="130"/>
      <c r="C20" s="130" t="s">
        <v>237</v>
      </c>
      <c r="D20" s="261" t="s">
        <v>350</v>
      </c>
      <c r="E20" s="262"/>
      <c r="F20" s="111" t="s">
        <v>456</v>
      </c>
      <c r="G20" s="112">
        <v>10</v>
      </c>
      <c r="H20" s="134">
        <v>0</v>
      </c>
      <c r="I20" s="137">
        <f>G20*AO20</f>
        <v>0</v>
      </c>
      <c r="J20" s="137">
        <f>G20*AP20</f>
        <v>0</v>
      </c>
      <c r="K20" s="112">
        <f>G20*H20</f>
        <v>0</v>
      </c>
      <c r="L20" s="112">
        <v>0.00439</v>
      </c>
      <c r="M20" s="112">
        <f>G20*L20</f>
        <v>0.043899999999999995</v>
      </c>
      <c r="N20" s="113" t="s">
        <v>585</v>
      </c>
      <c r="O20" s="15"/>
      <c r="Z20" s="41">
        <f>IF(AQ20="5",BJ20,0)</f>
        <v>0</v>
      </c>
      <c r="AB20" s="41">
        <f>IF(AQ20="1",BH20,0)</f>
        <v>0</v>
      </c>
      <c r="AC20" s="41">
        <f>IF(AQ20="1",BI20,0)</f>
        <v>0</v>
      </c>
      <c r="AD20" s="41">
        <f>IF(AQ20="7",BH20,0)</f>
        <v>0</v>
      </c>
      <c r="AE20" s="41">
        <f>IF(AQ20="7",BI20,0)</f>
        <v>0</v>
      </c>
      <c r="AF20" s="41">
        <f>IF(AQ20="2",BH20,0)</f>
        <v>0</v>
      </c>
      <c r="AG20" s="41">
        <f>IF(AQ20="2",BI20,0)</f>
        <v>0</v>
      </c>
      <c r="AH20" s="41">
        <f>IF(AQ20="0",BJ20,0)</f>
        <v>0</v>
      </c>
      <c r="AI20" s="59"/>
      <c r="AJ20" s="54">
        <f>IF(AN20=0,K20,0)</f>
        <v>0</v>
      </c>
      <c r="AK20" s="54">
        <f>IF(AN20=15,K20,0)</f>
        <v>0</v>
      </c>
      <c r="AL20" s="54">
        <f>IF(AN20=21,K20,0)</f>
        <v>0</v>
      </c>
      <c r="AN20" s="41">
        <v>21</v>
      </c>
      <c r="AO20" s="41">
        <f>H20*0.263111111111111</f>
        <v>0</v>
      </c>
      <c r="AP20" s="41">
        <f>H20*(1-0.263111111111111)</f>
        <v>0</v>
      </c>
      <c r="AQ20" s="64" t="s">
        <v>131</v>
      </c>
      <c r="AV20" s="41">
        <f>AW20+AX20</f>
        <v>0</v>
      </c>
      <c r="AW20" s="41">
        <f>G20*AO20</f>
        <v>0</v>
      </c>
      <c r="AX20" s="41">
        <f>G20*AP20</f>
        <v>0</v>
      </c>
      <c r="AY20" s="66" t="s">
        <v>483</v>
      </c>
      <c r="AZ20" s="66" t="s">
        <v>505</v>
      </c>
      <c r="BA20" s="59" t="s">
        <v>512</v>
      </c>
      <c r="BC20" s="41">
        <f>AW20+AX20</f>
        <v>0</v>
      </c>
      <c r="BD20" s="41">
        <f>H20/(100-BE20)*100</f>
        <v>0</v>
      </c>
      <c r="BE20" s="41">
        <v>0</v>
      </c>
      <c r="BF20" s="41">
        <f>M20</f>
        <v>0.043899999999999995</v>
      </c>
      <c r="BH20" s="54">
        <f>G20*AO20</f>
        <v>0</v>
      </c>
      <c r="BI20" s="54">
        <f>G20*AP20</f>
        <v>0</v>
      </c>
      <c r="BJ20" s="54">
        <f>G20*H20</f>
        <v>0</v>
      </c>
      <c r="BK20" s="54" t="s">
        <v>517</v>
      </c>
      <c r="BL20" s="41">
        <v>61</v>
      </c>
    </row>
    <row r="21" spans="1:47" ht="30" customHeight="1">
      <c r="A21" s="114"/>
      <c r="B21" s="131"/>
      <c r="C21" s="131" t="s">
        <v>76</v>
      </c>
      <c r="D21" s="263" t="s">
        <v>100</v>
      </c>
      <c r="E21" s="264"/>
      <c r="F21" s="116" t="s">
        <v>71</v>
      </c>
      <c r="G21" s="116" t="s">
        <v>71</v>
      </c>
      <c r="H21" s="116" t="s">
        <v>71</v>
      </c>
      <c r="I21" s="138" t="s">
        <v>71</v>
      </c>
      <c r="J21" s="138" t="s">
        <v>71</v>
      </c>
      <c r="K21" s="117">
        <f>SUM(K22:K22)</f>
        <v>0</v>
      </c>
      <c r="L21" s="118"/>
      <c r="M21" s="117">
        <f>SUM(M22:M22)</f>
        <v>0.047912</v>
      </c>
      <c r="N21" s="119"/>
      <c r="O21" s="15"/>
      <c r="AI21" s="59"/>
      <c r="AS21" s="69">
        <f>SUM(AJ22:AJ22)</f>
        <v>0</v>
      </c>
      <c r="AT21" s="69">
        <f>SUM(AK22:AK22)</f>
        <v>0</v>
      </c>
      <c r="AU21" s="69">
        <f>SUM(AL22:AL22)</f>
        <v>0</v>
      </c>
    </row>
    <row r="22" spans="1:64" ht="30" customHeight="1">
      <c r="A22" s="110" t="s">
        <v>137</v>
      </c>
      <c r="B22" s="130"/>
      <c r="C22" s="130" t="s">
        <v>238</v>
      </c>
      <c r="D22" s="261" t="s">
        <v>351</v>
      </c>
      <c r="E22" s="262"/>
      <c r="F22" s="111" t="s">
        <v>456</v>
      </c>
      <c r="G22" s="112">
        <v>45.2</v>
      </c>
      <c r="H22" s="134">
        <v>0</v>
      </c>
      <c r="I22" s="137">
        <f>G22*AO22</f>
        <v>0</v>
      </c>
      <c r="J22" s="137">
        <f>G22*AP22</f>
        <v>0</v>
      </c>
      <c r="K22" s="112">
        <f>G22*H22</f>
        <v>0</v>
      </c>
      <c r="L22" s="112">
        <v>0.00106</v>
      </c>
      <c r="M22" s="112">
        <f>G22*L22</f>
        <v>0.047912</v>
      </c>
      <c r="N22" s="113" t="s">
        <v>585</v>
      </c>
      <c r="O22" s="15"/>
      <c r="Z22" s="41">
        <f>IF(AQ22="5",BJ22,0)</f>
        <v>0</v>
      </c>
      <c r="AB22" s="41">
        <f>IF(AQ22="1",BH22,0)</f>
        <v>0</v>
      </c>
      <c r="AC22" s="41">
        <f>IF(AQ22="1",BI22,0)</f>
        <v>0</v>
      </c>
      <c r="AD22" s="41">
        <f>IF(AQ22="7",BH22,0)</f>
        <v>0</v>
      </c>
      <c r="AE22" s="41">
        <f>IF(AQ22="7",BI22,0)</f>
        <v>0</v>
      </c>
      <c r="AF22" s="41">
        <f>IF(AQ22="2",BH22,0)</f>
        <v>0</v>
      </c>
      <c r="AG22" s="41">
        <f>IF(AQ22="2",BI22,0)</f>
        <v>0</v>
      </c>
      <c r="AH22" s="41">
        <f>IF(AQ22="0",BJ22,0)</f>
        <v>0</v>
      </c>
      <c r="AI22" s="59"/>
      <c r="AJ22" s="54">
        <f>IF(AN22=0,K22,0)</f>
        <v>0</v>
      </c>
      <c r="AK22" s="54">
        <f>IF(AN22=15,K22,0)</f>
        <v>0</v>
      </c>
      <c r="AL22" s="54">
        <f>IF(AN22=21,K22,0)</f>
        <v>0</v>
      </c>
      <c r="AN22" s="41">
        <v>21</v>
      </c>
      <c r="AO22" s="41">
        <f>H22*0.385389221556886</f>
        <v>0</v>
      </c>
      <c r="AP22" s="41">
        <f>H22*(1-0.385389221556886)</f>
        <v>0</v>
      </c>
      <c r="AQ22" s="64" t="s">
        <v>131</v>
      </c>
      <c r="AV22" s="41">
        <f>AW22+AX22</f>
        <v>0</v>
      </c>
      <c r="AW22" s="41">
        <f>G22*AO22</f>
        <v>0</v>
      </c>
      <c r="AX22" s="41">
        <f>G22*AP22</f>
        <v>0</v>
      </c>
      <c r="AY22" s="66" t="s">
        <v>484</v>
      </c>
      <c r="AZ22" s="66" t="s">
        <v>505</v>
      </c>
      <c r="BA22" s="59" t="s">
        <v>512</v>
      </c>
      <c r="BC22" s="41">
        <f>AW22+AX22</f>
        <v>0</v>
      </c>
      <c r="BD22" s="41">
        <f>H22/(100-BE22)*100</f>
        <v>0</v>
      </c>
      <c r="BE22" s="41">
        <v>0</v>
      </c>
      <c r="BF22" s="41">
        <f>M22</f>
        <v>0.047912</v>
      </c>
      <c r="BH22" s="54">
        <f>G22*AO22</f>
        <v>0</v>
      </c>
      <c r="BI22" s="54">
        <f>G22*AP22</f>
        <v>0</v>
      </c>
      <c r="BJ22" s="54">
        <f>G22*H22</f>
        <v>0</v>
      </c>
      <c r="BK22" s="54" t="s">
        <v>517</v>
      </c>
      <c r="BL22" s="41">
        <v>62</v>
      </c>
    </row>
    <row r="23" spans="1:47" ht="30" customHeight="1">
      <c r="A23" s="114"/>
      <c r="B23" s="131"/>
      <c r="C23" s="131" t="s">
        <v>77</v>
      </c>
      <c r="D23" s="263" t="s">
        <v>101</v>
      </c>
      <c r="E23" s="264"/>
      <c r="F23" s="116" t="s">
        <v>71</v>
      </c>
      <c r="G23" s="116" t="s">
        <v>71</v>
      </c>
      <c r="H23" s="116" t="s">
        <v>71</v>
      </c>
      <c r="I23" s="138" t="s">
        <v>71</v>
      </c>
      <c r="J23" s="138" t="s">
        <v>71</v>
      </c>
      <c r="K23" s="117">
        <f>SUM(K24:K24)</f>
        <v>0</v>
      </c>
      <c r="L23" s="118"/>
      <c r="M23" s="117">
        <f>SUM(M24:M24)</f>
        <v>2.810052</v>
      </c>
      <c r="N23" s="119"/>
      <c r="O23" s="15"/>
      <c r="AI23" s="59"/>
      <c r="AS23" s="69">
        <f>SUM(AJ24:AJ24)</f>
        <v>0</v>
      </c>
      <c r="AT23" s="69">
        <f>SUM(AK24:AK24)</f>
        <v>0</v>
      </c>
      <c r="AU23" s="69">
        <f>SUM(AL24:AL24)</f>
        <v>0</v>
      </c>
    </row>
    <row r="24" spans="1:64" ht="30" customHeight="1">
      <c r="A24" s="110" t="s">
        <v>138</v>
      </c>
      <c r="B24" s="130"/>
      <c r="C24" s="130" t="s">
        <v>239</v>
      </c>
      <c r="D24" s="261" t="s">
        <v>352</v>
      </c>
      <c r="E24" s="262"/>
      <c r="F24" s="111" t="s">
        <v>456</v>
      </c>
      <c r="G24" s="112">
        <v>37.17</v>
      </c>
      <c r="H24" s="134">
        <v>0</v>
      </c>
      <c r="I24" s="137">
        <f>G24*AO24</f>
        <v>0</v>
      </c>
      <c r="J24" s="137">
        <f>G24*AP24</f>
        <v>0</v>
      </c>
      <c r="K24" s="112">
        <f>G24*H24</f>
        <v>0</v>
      </c>
      <c r="L24" s="112">
        <v>0.0756</v>
      </c>
      <c r="M24" s="112">
        <f>G24*L24</f>
        <v>2.810052</v>
      </c>
      <c r="N24" s="113" t="s">
        <v>585</v>
      </c>
      <c r="O24" s="15"/>
      <c r="Z24" s="41">
        <f>IF(AQ24="5",BJ24,0)</f>
        <v>0</v>
      </c>
      <c r="AB24" s="41">
        <f>IF(AQ24="1",BH24,0)</f>
        <v>0</v>
      </c>
      <c r="AC24" s="41">
        <f>IF(AQ24="1",BI24,0)</f>
        <v>0</v>
      </c>
      <c r="AD24" s="41">
        <f>IF(AQ24="7",BH24,0)</f>
        <v>0</v>
      </c>
      <c r="AE24" s="41">
        <f>IF(AQ24="7",BI24,0)</f>
        <v>0</v>
      </c>
      <c r="AF24" s="41">
        <f>IF(AQ24="2",BH24,0)</f>
        <v>0</v>
      </c>
      <c r="AG24" s="41">
        <f>IF(AQ24="2",BI24,0)</f>
        <v>0</v>
      </c>
      <c r="AH24" s="41">
        <f>IF(AQ24="0",BJ24,0)</f>
        <v>0</v>
      </c>
      <c r="AI24" s="59"/>
      <c r="AJ24" s="54">
        <f>IF(AN24=0,K24,0)</f>
        <v>0</v>
      </c>
      <c r="AK24" s="54">
        <f>IF(AN24=15,K24,0)</f>
        <v>0</v>
      </c>
      <c r="AL24" s="54">
        <f>IF(AN24=21,K24,0)</f>
        <v>0</v>
      </c>
      <c r="AN24" s="41">
        <v>21</v>
      </c>
      <c r="AO24" s="41">
        <f>H24*0.894080459770115</f>
        <v>0</v>
      </c>
      <c r="AP24" s="41">
        <f>H24*(1-0.894080459770115)</f>
        <v>0</v>
      </c>
      <c r="AQ24" s="64" t="s">
        <v>131</v>
      </c>
      <c r="AV24" s="41">
        <f>AW24+AX24</f>
        <v>0</v>
      </c>
      <c r="AW24" s="41">
        <f>G24*AO24</f>
        <v>0</v>
      </c>
      <c r="AX24" s="41">
        <f>G24*AP24</f>
        <v>0</v>
      </c>
      <c r="AY24" s="66" t="s">
        <v>485</v>
      </c>
      <c r="AZ24" s="66" t="s">
        <v>505</v>
      </c>
      <c r="BA24" s="59" t="s">
        <v>512</v>
      </c>
      <c r="BC24" s="41">
        <f>AW24+AX24</f>
        <v>0</v>
      </c>
      <c r="BD24" s="41">
        <f>H24/(100-BE24)*100</f>
        <v>0</v>
      </c>
      <c r="BE24" s="41">
        <v>0</v>
      </c>
      <c r="BF24" s="41">
        <f>M24</f>
        <v>2.810052</v>
      </c>
      <c r="BH24" s="54">
        <f>G24*AO24</f>
        <v>0</v>
      </c>
      <c r="BI24" s="54">
        <f>G24*AP24</f>
        <v>0</v>
      </c>
      <c r="BJ24" s="54">
        <f>G24*H24</f>
        <v>0</v>
      </c>
      <c r="BK24" s="54" t="s">
        <v>517</v>
      </c>
      <c r="BL24" s="41">
        <v>63</v>
      </c>
    </row>
    <row r="25" spans="1:47" ht="30" customHeight="1">
      <c r="A25" s="114"/>
      <c r="B25" s="131"/>
      <c r="C25" s="131" t="s">
        <v>78</v>
      </c>
      <c r="D25" s="263" t="s">
        <v>102</v>
      </c>
      <c r="E25" s="264"/>
      <c r="F25" s="116" t="s">
        <v>71</v>
      </c>
      <c r="G25" s="116" t="s">
        <v>71</v>
      </c>
      <c r="H25" s="116" t="s">
        <v>71</v>
      </c>
      <c r="I25" s="138" t="s">
        <v>71</v>
      </c>
      <c r="J25" s="138" t="s">
        <v>71</v>
      </c>
      <c r="K25" s="117">
        <f>SUM(K26:K27)</f>
        <v>0</v>
      </c>
      <c r="L25" s="118"/>
      <c r="M25" s="117">
        <f>SUM(M26:M27)</f>
        <v>0.20409</v>
      </c>
      <c r="N25" s="119"/>
      <c r="O25" s="15"/>
      <c r="AI25" s="59"/>
      <c r="AS25" s="69">
        <f>SUM(AJ26:AJ27)</f>
        <v>0</v>
      </c>
      <c r="AT25" s="69">
        <f>SUM(AK26:AK27)</f>
        <v>0</v>
      </c>
      <c r="AU25" s="69">
        <f>SUM(AL26:AL27)</f>
        <v>0</v>
      </c>
    </row>
    <row r="26" spans="1:64" ht="30" customHeight="1">
      <c r="A26" s="110" t="s">
        <v>139</v>
      </c>
      <c r="B26" s="130"/>
      <c r="C26" s="130" t="s">
        <v>240</v>
      </c>
      <c r="D26" s="261" t="s">
        <v>353</v>
      </c>
      <c r="E26" s="262"/>
      <c r="F26" s="111" t="s">
        <v>458</v>
      </c>
      <c r="G26" s="112">
        <v>1</v>
      </c>
      <c r="H26" s="134">
        <v>0</v>
      </c>
      <c r="I26" s="137">
        <f>G26*AO26</f>
        <v>0</v>
      </c>
      <c r="J26" s="137">
        <f>G26*AP26</f>
        <v>0</v>
      </c>
      <c r="K26" s="112">
        <f>G26*H26</f>
        <v>0</v>
      </c>
      <c r="L26" s="112">
        <v>0.06731</v>
      </c>
      <c r="M26" s="112">
        <f>G26*L26</f>
        <v>0.06731</v>
      </c>
      <c r="N26" s="113" t="s">
        <v>585</v>
      </c>
      <c r="O26" s="15"/>
      <c r="Z26" s="41">
        <f>IF(AQ26="5",BJ26,0)</f>
        <v>0</v>
      </c>
      <c r="AB26" s="41">
        <f>IF(AQ26="1",BH26,0)</f>
        <v>0</v>
      </c>
      <c r="AC26" s="41">
        <f>IF(AQ26="1",BI26,0)</f>
        <v>0</v>
      </c>
      <c r="AD26" s="41">
        <f>IF(AQ26="7",BH26,0)</f>
        <v>0</v>
      </c>
      <c r="AE26" s="41">
        <f>IF(AQ26="7",BI26,0)</f>
        <v>0</v>
      </c>
      <c r="AF26" s="41">
        <f>IF(AQ26="2",BH26,0)</f>
        <v>0</v>
      </c>
      <c r="AG26" s="41">
        <f>IF(AQ26="2",BI26,0)</f>
        <v>0</v>
      </c>
      <c r="AH26" s="41">
        <f>IF(AQ26="0",BJ26,0)</f>
        <v>0</v>
      </c>
      <c r="AI26" s="59"/>
      <c r="AJ26" s="54">
        <f>IF(AN26=0,K26,0)</f>
        <v>0</v>
      </c>
      <c r="AK26" s="54">
        <f>IF(AN26=15,K26,0)</f>
        <v>0</v>
      </c>
      <c r="AL26" s="54">
        <f>IF(AN26=21,K26,0)</f>
        <v>0</v>
      </c>
      <c r="AN26" s="41">
        <v>21</v>
      </c>
      <c r="AO26" s="41">
        <f>H26*0.593778947368421</f>
        <v>0</v>
      </c>
      <c r="AP26" s="41">
        <f>H26*(1-0.593778947368421)</f>
        <v>0</v>
      </c>
      <c r="AQ26" s="64" t="s">
        <v>131</v>
      </c>
      <c r="AV26" s="41">
        <f>AW26+AX26</f>
        <v>0</v>
      </c>
      <c r="AW26" s="41">
        <f>G26*AO26</f>
        <v>0</v>
      </c>
      <c r="AX26" s="41">
        <f>G26*AP26</f>
        <v>0</v>
      </c>
      <c r="AY26" s="66" t="s">
        <v>486</v>
      </c>
      <c r="AZ26" s="66" t="s">
        <v>505</v>
      </c>
      <c r="BA26" s="59" t="s">
        <v>512</v>
      </c>
      <c r="BC26" s="41">
        <f>AW26+AX26</f>
        <v>0</v>
      </c>
      <c r="BD26" s="41">
        <f>H26/(100-BE26)*100</f>
        <v>0</v>
      </c>
      <c r="BE26" s="41">
        <v>0</v>
      </c>
      <c r="BF26" s="41">
        <f>M26</f>
        <v>0.06731</v>
      </c>
      <c r="BH26" s="54">
        <f>G26*AO26</f>
        <v>0</v>
      </c>
      <c r="BI26" s="54">
        <f>G26*AP26</f>
        <v>0</v>
      </c>
      <c r="BJ26" s="54">
        <f>G26*H26</f>
        <v>0</v>
      </c>
      <c r="BK26" s="54" t="s">
        <v>517</v>
      </c>
      <c r="BL26" s="41">
        <v>64</v>
      </c>
    </row>
    <row r="27" spans="1:64" ht="30" customHeight="1">
      <c r="A27" s="110" t="s">
        <v>140</v>
      </c>
      <c r="B27" s="130"/>
      <c r="C27" s="130" t="s">
        <v>241</v>
      </c>
      <c r="D27" s="261" t="s">
        <v>354</v>
      </c>
      <c r="E27" s="262"/>
      <c r="F27" s="111" t="s">
        <v>458</v>
      </c>
      <c r="G27" s="112">
        <v>1</v>
      </c>
      <c r="H27" s="134">
        <v>0</v>
      </c>
      <c r="I27" s="137">
        <f>G27*AO27</f>
        <v>0</v>
      </c>
      <c r="J27" s="137">
        <f>G27*AP27</f>
        <v>0</v>
      </c>
      <c r="K27" s="112">
        <f>G27*H27</f>
        <v>0</v>
      </c>
      <c r="L27" s="112">
        <v>0.13678</v>
      </c>
      <c r="M27" s="112">
        <f>G27*L27</f>
        <v>0.13678</v>
      </c>
      <c r="N27" s="113" t="s">
        <v>585</v>
      </c>
      <c r="O27" s="15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59"/>
      <c r="AJ27" s="54">
        <f>IF(AN27=0,K27,0)</f>
        <v>0</v>
      </c>
      <c r="AK27" s="54">
        <f>IF(AN27=15,K27,0)</f>
        <v>0</v>
      </c>
      <c r="AL27" s="54">
        <f>IF(AN27=21,K27,0)</f>
        <v>0</v>
      </c>
      <c r="AN27" s="41">
        <v>21</v>
      </c>
      <c r="AO27" s="41">
        <f>H27*0.23605504587156</f>
        <v>0</v>
      </c>
      <c r="AP27" s="41">
        <f>H27*(1-0.23605504587156)</f>
        <v>0</v>
      </c>
      <c r="AQ27" s="64" t="s">
        <v>131</v>
      </c>
      <c r="AV27" s="41">
        <f>AW27+AX27</f>
        <v>0</v>
      </c>
      <c r="AW27" s="41">
        <f>G27*AO27</f>
        <v>0</v>
      </c>
      <c r="AX27" s="41">
        <f>G27*AP27</f>
        <v>0</v>
      </c>
      <c r="AY27" s="66" t="s">
        <v>486</v>
      </c>
      <c r="AZ27" s="66" t="s">
        <v>505</v>
      </c>
      <c r="BA27" s="59" t="s">
        <v>512</v>
      </c>
      <c r="BC27" s="41">
        <f>AW27+AX27</f>
        <v>0</v>
      </c>
      <c r="BD27" s="41">
        <f>H27/(100-BE27)*100</f>
        <v>0</v>
      </c>
      <c r="BE27" s="41">
        <v>0</v>
      </c>
      <c r="BF27" s="41">
        <f>M27</f>
        <v>0.13678</v>
      </c>
      <c r="BH27" s="54">
        <f>G27*AO27</f>
        <v>0</v>
      </c>
      <c r="BI27" s="54">
        <f>G27*AP27</f>
        <v>0</v>
      </c>
      <c r="BJ27" s="54">
        <f>G27*H27</f>
        <v>0</v>
      </c>
      <c r="BK27" s="54" t="s">
        <v>517</v>
      </c>
      <c r="BL27" s="41">
        <v>64</v>
      </c>
    </row>
    <row r="28" spans="1:47" ht="30" customHeight="1">
      <c r="A28" s="114"/>
      <c r="B28" s="131"/>
      <c r="C28" s="131" t="s">
        <v>79</v>
      </c>
      <c r="D28" s="263" t="s">
        <v>103</v>
      </c>
      <c r="E28" s="264"/>
      <c r="F28" s="116" t="s">
        <v>71</v>
      </c>
      <c r="G28" s="116" t="s">
        <v>71</v>
      </c>
      <c r="H28" s="116" t="s">
        <v>71</v>
      </c>
      <c r="I28" s="138" t="s">
        <v>71</v>
      </c>
      <c r="J28" s="138" t="s">
        <v>71</v>
      </c>
      <c r="K28" s="117">
        <f>SUM(K29:K30)</f>
        <v>0</v>
      </c>
      <c r="L28" s="118"/>
      <c r="M28" s="117">
        <f>SUM(M29:M30)</f>
        <v>0.309472</v>
      </c>
      <c r="N28" s="119"/>
      <c r="O28" s="15"/>
      <c r="AI28" s="59"/>
      <c r="AS28" s="69">
        <f>SUM(AJ29:AJ30)</f>
        <v>0</v>
      </c>
      <c r="AT28" s="69">
        <f>SUM(AK29:AK30)</f>
        <v>0</v>
      </c>
      <c r="AU28" s="69">
        <f>SUM(AL29:AL30)</f>
        <v>0</v>
      </c>
    </row>
    <row r="29" spans="1:64" ht="30" customHeight="1">
      <c r="A29" s="110" t="s">
        <v>141</v>
      </c>
      <c r="B29" s="130"/>
      <c r="C29" s="130" t="s">
        <v>242</v>
      </c>
      <c r="D29" s="261" t="s">
        <v>355</v>
      </c>
      <c r="E29" s="262"/>
      <c r="F29" s="111"/>
      <c r="G29" s="112">
        <v>38</v>
      </c>
      <c r="H29" s="134">
        <v>0</v>
      </c>
      <c r="I29" s="137">
        <f>G29*AO29</f>
        <v>0</v>
      </c>
      <c r="J29" s="137">
        <f>G29*AP29</f>
        <v>0</v>
      </c>
      <c r="K29" s="112">
        <f>G29*H29</f>
        <v>0</v>
      </c>
      <c r="L29" s="112">
        <v>0.00134</v>
      </c>
      <c r="M29" s="112">
        <f>G29*L29</f>
        <v>0.05092</v>
      </c>
      <c r="N29" s="113" t="s">
        <v>585</v>
      </c>
      <c r="O29" s="15"/>
      <c r="Z29" s="41">
        <f>IF(AQ29="5",BJ29,0)</f>
        <v>0</v>
      </c>
      <c r="AB29" s="41">
        <f>IF(AQ29="1",BH29,0)</f>
        <v>0</v>
      </c>
      <c r="AC29" s="41">
        <f>IF(AQ29="1",BI29,0)</f>
        <v>0</v>
      </c>
      <c r="AD29" s="41">
        <f>IF(AQ29="7",BH29,0)</f>
        <v>0</v>
      </c>
      <c r="AE29" s="41">
        <f>IF(AQ29="7",BI29,0)</f>
        <v>0</v>
      </c>
      <c r="AF29" s="41">
        <f>IF(AQ29="2",BH29,0)</f>
        <v>0</v>
      </c>
      <c r="AG29" s="41">
        <f>IF(AQ29="2",BI29,0)</f>
        <v>0</v>
      </c>
      <c r="AH29" s="41">
        <f>IF(AQ29="0",BJ29,0)</f>
        <v>0</v>
      </c>
      <c r="AI29" s="59"/>
      <c r="AJ29" s="54">
        <f>IF(AN29=0,K29,0)</f>
        <v>0</v>
      </c>
      <c r="AK29" s="54">
        <f>IF(AN29=15,K29,0)</f>
        <v>0</v>
      </c>
      <c r="AL29" s="54">
        <f>IF(AN29=21,K29,0)</f>
        <v>0</v>
      </c>
      <c r="AN29" s="41">
        <v>21</v>
      </c>
      <c r="AO29" s="41">
        <f>H29*0.0925007143413773</f>
        <v>0</v>
      </c>
      <c r="AP29" s="41">
        <f>H29*(1-0.0925007143413773)</f>
        <v>0</v>
      </c>
      <c r="AQ29" s="64" t="s">
        <v>137</v>
      </c>
      <c r="AV29" s="41">
        <f>AW29+AX29</f>
        <v>0</v>
      </c>
      <c r="AW29" s="41">
        <f>G29*AO29</f>
        <v>0</v>
      </c>
      <c r="AX29" s="41">
        <f>G29*AP29</f>
        <v>0</v>
      </c>
      <c r="AY29" s="66" t="s">
        <v>487</v>
      </c>
      <c r="AZ29" s="66" t="s">
        <v>506</v>
      </c>
      <c r="BA29" s="59" t="s">
        <v>512</v>
      </c>
      <c r="BC29" s="41">
        <f>AW29+AX29</f>
        <v>0</v>
      </c>
      <c r="BD29" s="41">
        <f>H29/(100-BE29)*100</f>
        <v>0</v>
      </c>
      <c r="BE29" s="41">
        <v>0</v>
      </c>
      <c r="BF29" s="41">
        <f>M29</f>
        <v>0.05092</v>
      </c>
      <c r="BH29" s="54">
        <f>G29*AO29</f>
        <v>0</v>
      </c>
      <c r="BI29" s="54">
        <f>G29*AP29</f>
        <v>0</v>
      </c>
      <c r="BJ29" s="54">
        <f>G29*H29</f>
        <v>0</v>
      </c>
      <c r="BK29" s="54" t="s">
        <v>517</v>
      </c>
      <c r="BL29" s="41">
        <v>714</v>
      </c>
    </row>
    <row r="30" spans="1:64" ht="30" customHeight="1">
      <c r="A30" s="110" t="s">
        <v>142</v>
      </c>
      <c r="B30" s="130"/>
      <c r="C30" s="130" t="s">
        <v>243</v>
      </c>
      <c r="D30" s="261" t="s">
        <v>356</v>
      </c>
      <c r="E30" s="262"/>
      <c r="F30" s="111"/>
      <c r="G30" s="112">
        <v>39.9</v>
      </c>
      <c r="H30" s="134">
        <v>0</v>
      </c>
      <c r="I30" s="137">
        <f>G30*AO30</f>
        <v>0</v>
      </c>
      <c r="J30" s="137">
        <f>G30*AP30</f>
        <v>0</v>
      </c>
      <c r="K30" s="112">
        <f>G30*H30</f>
        <v>0</v>
      </c>
      <c r="L30" s="112">
        <v>0.00648</v>
      </c>
      <c r="M30" s="112">
        <f>G30*L30</f>
        <v>0.258552</v>
      </c>
      <c r="N30" s="113" t="s">
        <v>585</v>
      </c>
      <c r="O30" s="15"/>
      <c r="Z30" s="41">
        <f>IF(AQ30="5",BJ30,0)</f>
        <v>0</v>
      </c>
      <c r="AB30" s="41">
        <f>IF(AQ30="1",BH30,0)</f>
        <v>0</v>
      </c>
      <c r="AC30" s="41">
        <f>IF(AQ30="1",BI30,0)</f>
        <v>0</v>
      </c>
      <c r="AD30" s="41">
        <f>IF(AQ30="7",BH30,0)</f>
        <v>0</v>
      </c>
      <c r="AE30" s="41">
        <f>IF(AQ30="7",BI30,0)</f>
        <v>0</v>
      </c>
      <c r="AF30" s="41">
        <f>IF(AQ30="2",BH30,0)</f>
        <v>0</v>
      </c>
      <c r="AG30" s="41">
        <f>IF(AQ30="2",BI30,0)</f>
        <v>0</v>
      </c>
      <c r="AH30" s="41">
        <f>IF(AQ30="0",BJ30,0)</f>
        <v>0</v>
      </c>
      <c r="AI30" s="59"/>
      <c r="AJ30" s="54">
        <f>IF(AN30=0,K30,0)</f>
        <v>0</v>
      </c>
      <c r="AK30" s="54">
        <f>IF(AN30=15,K30,0)</f>
        <v>0</v>
      </c>
      <c r="AL30" s="54">
        <f>IF(AN30=21,K30,0)</f>
        <v>0</v>
      </c>
      <c r="AN30" s="41">
        <v>21</v>
      </c>
      <c r="AO30" s="41">
        <f>H30*0.974025974025974</f>
        <v>0</v>
      </c>
      <c r="AP30" s="41">
        <f>H30*(1-0.974025974025974)</f>
        <v>0</v>
      </c>
      <c r="AQ30" s="64" t="s">
        <v>137</v>
      </c>
      <c r="AV30" s="41">
        <f>AW30+AX30</f>
        <v>0</v>
      </c>
      <c r="AW30" s="41">
        <f>G30*AO30</f>
        <v>0</v>
      </c>
      <c r="AX30" s="41">
        <f>G30*AP30</f>
        <v>0</v>
      </c>
      <c r="AY30" s="66" t="s">
        <v>487</v>
      </c>
      <c r="AZ30" s="66" t="s">
        <v>506</v>
      </c>
      <c r="BA30" s="59" t="s">
        <v>512</v>
      </c>
      <c r="BC30" s="41">
        <f>AW30+AX30</f>
        <v>0</v>
      </c>
      <c r="BD30" s="41">
        <f>H30/(100-BE30)*100</f>
        <v>0</v>
      </c>
      <c r="BE30" s="41">
        <v>0</v>
      </c>
      <c r="BF30" s="41">
        <f>M30</f>
        <v>0.258552</v>
      </c>
      <c r="BH30" s="54">
        <f>G30*AO30</f>
        <v>0</v>
      </c>
      <c r="BI30" s="54">
        <f>G30*AP30</f>
        <v>0</v>
      </c>
      <c r="BJ30" s="54">
        <f>G30*H30</f>
        <v>0</v>
      </c>
      <c r="BK30" s="54" t="s">
        <v>517</v>
      </c>
      <c r="BL30" s="41">
        <v>714</v>
      </c>
    </row>
    <row r="31" spans="1:47" ht="30" customHeight="1">
      <c r="A31" s="114"/>
      <c r="B31" s="131"/>
      <c r="C31" s="131" t="s">
        <v>80</v>
      </c>
      <c r="D31" s="263" t="s">
        <v>104</v>
      </c>
      <c r="E31" s="264"/>
      <c r="F31" s="116" t="s">
        <v>71</v>
      </c>
      <c r="G31" s="116" t="s">
        <v>71</v>
      </c>
      <c r="H31" s="116" t="s">
        <v>71</v>
      </c>
      <c r="I31" s="138" t="s">
        <v>71</v>
      </c>
      <c r="J31" s="138" t="s">
        <v>71</v>
      </c>
      <c r="K31" s="117">
        <f>SUM(K32:K35)</f>
        <v>0</v>
      </c>
      <c r="L31" s="118"/>
      <c r="M31" s="117">
        <f>SUM(M32:M35)</f>
        <v>0.02396</v>
      </c>
      <c r="N31" s="119"/>
      <c r="O31" s="15"/>
      <c r="AI31" s="59"/>
      <c r="AS31" s="69">
        <f>SUM(AJ32:AJ35)</f>
        <v>0</v>
      </c>
      <c r="AT31" s="69">
        <f>SUM(AK32:AK35)</f>
        <v>0</v>
      </c>
      <c r="AU31" s="69">
        <f>SUM(AL32:AL35)</f>
        <v>0</v>
      </c>
    </row>
    <row r="32" spans="1:64" ht="30" customHeight="1">
      <c r="A32" s="110" t="s">
        <v>143</v>
      </c>
      <c r="B32" s="130"/>
      <c r="C32" s="130" t="s">
        <v>244</v>
      </c>
      <c r="D32" s="261" t="s">
        <v>357</v>
      </c>
      <c r="E32" s="262"/>
      <c r="F32" s="111" t="s">
        <v>457</v>
      </c>
      <c r="G32" s="112">
        <v>10</v>
      </c>
      <c r="H32" s="134">
        <v>0</v>
      </c>
      <c r="I32" s="137">
        <f>G32*AO32</f>
        <v>0</v>
      </c>
      <c r="J32" s="137">
        <f>G32*AP32</f>
        <v>0</v>
      </c>
      <c r="K32" s="112">
        <f>G32*H32</f>
        <v>0</v>
      </c>
      <c r="L32" s="112">
        <v>0.00198</v>
      </c>
      <c r="M32" s="112">
        <f>G32*L32</f>
        <v>0.019799999999999998</v>
      </c>
      <c r="N32" s="113" t="s">
        <v>585</v>
      </c>
      <c r="O32" s="15"/>
      <c r="Z32" s="41">
        <f>IF(AQ32="5",BJ32,0)</f>
        <v>0</v>
      </c>
      <c r="AB32" s="41">
        <f>IF(AQ32="1",BH32,0)</f>
        <v>0</v>
      </c>
      <c r="AC32" s="41">
        <f>IF(AQ32="1",BI32,0)</f>
        <v>0</v>
      </c>
      <c r="AD32" s="41">
        <f>IF(AQ32="7",BH32,0)</f>
        <v>0</v>
      </c>
      <c r="AE32" s="41">
        <f>IF(AQ32="7",BI32,0)</f>
        <v>0</v>
      </c>
      <c r="AF32" s="41">
        <f>IF(AQ32="2",BH32,0)</f>
        <v>0</v>
      </c>
      <c r="AG32" s="41">
        <f>IF(AQ32="2",BI32,0)</f>
        <v>0</v>
      </c>
      <c r="AH32" s="41">
        <f>IF(AQ32="0",BJ32,0)</f>
        <v>0</v>
      </c>
      <c r="AI32" s="59"/>
      <c r="AJ32" s="54">
        <f>IF(AN32=0,K32,0)</f>
        <v>0</v>
      </c>
      <c r="AK32" s="54">
        <f>IF(AN32=15,K32,0)</f>
        <v>0</v>
      </c>
      <c r="AL32" s="54">
        <f>IF(AN32=21,K32,0)</f>
        <v>0</v>
      </c>
      <c r="AN32" s="41">
        <v>21</v>
      </c>
      <c r="AO32" s="41">
        <f>H32*0</f>
        <v>0</v>
      </c>
      <c r="AP32" s="41">
        <f>H32*(1-0)</f>
        <v>0</v>
      </c>
      <c r="AQ32" s="64" t="s">
        <v>137</v>
      </c>
      <c r="AV32" s="41">
        <f>AW32+AX32</f>
        <v>0</v>
      </c>
      <c r="AW32" s="41">
        <f>G32*AO32</f>
        <v>0</v>
      </c>
      <c r="AX32" s="41">
        <f>G32*AP32</f>
        <v>0</v>
      </c>
      <c r="AY32" s="66" t="s">
        <v>488</v>
      </c>
      <c r="AZ32" s="66" t="s">
        <v>507</v>
      </c>
      <c r="BA32" s="59" t="s">
        <v>512</v>
      </c>
      <c r="BC32" s="41">
        <f>AW32+AX32</f>
        <v>0</v>
      </c>
      <c r="BD32" s="41">
        <f>H32/(100-BE32)*100</f>
        <v>0</v>
      </c>
      <c r="BE32" s="41">
        <v>0</v>
      </c>
      <c r="BF32" s="41">
        <f>M32</f>
        <v>0.019799999999999998</v>
      </c>
      <c r="BH32" s="54">
        <f>G32*AO32</f>
        <v>0</v>
      </c>
      <c r="BI32" s="54">
        <f>G32*AP32</f>
        <v>0</v>
      </c>
      <c r="BJ32" s="54">
        <f>G32*H32</f>
        <v>0</v>
      </c>
      <c r="BK32" s="54" t="s">
        <v>517</v>
      </c>
      <c r="BL32" s="41">
        <v>721</v>
      </c>
    </row>
    <row r="33" spans="1:64" ht="30" customHeight="1">
      <c r="A33" s="110" t="s">
        <v>144</v>
      </c>
      <c r="B33" s="130"/>
      <c r="C33" s="130" t="s">
        <v>245</v>
      </c>
      <c r="D33" s="261" t="s">
        <v>358</v>
      </c>
      <c r="E33" s="262"/>
      <c r="F33" s="111" t="s">
        <v>458</v>
      </c>
      <c r="G33" s="112">
        <v>5</v>
      </c>
      <c r="H33" s="134">
        <v>0</v>
      </c>
      <c r="I33" s="137">
        <f>G33*AO33</f>
        <v>0</v>
      </c>
      <c r="J33" s="137">
        <f>G33*AP33</f>
        <v>0</v>
      </c>
      <c r="K33" s="112">
        <f>G33*H33</f>
        <v>0</v>
      </c>
      <c r="L33" s="112">
        <v>0</v>
      </c>
      <c r="M33" s="112">
        <f>G33*L33</f>
        <v>0</v>
      </c>
      <c r="N33" s="113" t="s">
        <v>585</v>
      </c>
      <c r="O33" s="15"/>
      <c r="Z33" s="41">
        <f>IF(AQ33="5",BJ33,0)</f>
        <v>0</v>
      </c>
      <c r="AB33" s="41">
        <f>IF(AQ33="1",BH33,0)</f>
        <v>0</v>
      </c>
      <c r="AC33" s="41">
        <f>IF(AQ33="1",BI33,0)</f>
        <v>0</v>
      </c>
      <c r="AD33" s="41">
        <f>IF(AQ33="7",BH33,0)</f>
        <v>0</v>
      </c>
      <c r="AE33" s="41">
        <f>IF(AQ33="7",BI33,0)</f>
        <v>0</v>
      </c>
      <c r="AF33" s="41">
        <f>IF(AQ33="2",BH33,0)</f>
        <v>0</v>
      </c>
      <c r="AG33" s="41">
        <f>IF(AQ33="2",BI33,0)</f>
        <v>0</v>
      </c>
      <c r="AH33" s="41">
        <f>IF(AQ33="0",BJ33,0)</f>
        <v>0</v>
      </c>
      <c r="AI33" s="59"/>
      <c r="AJ33" s="54">
        <f>IF(AN33=0,K33,0)</f>
        <v>0</v>
      </c>
      <c r="AK33" s="54">
        <f>IF(AN33=15,K33,0)</f>
        <v>0</v>
      </c>
      <c r="AL33" s="54">
        <f>IF(AN33=21,K33,0)</f>
        <v>0</v>
      </c>
      <c r="AN33" s="41">
        <v>21</v>
      </c>
      <c r="AO33" s="41">
        <f>H33*0</f>
        <v>0</v>
      </c>
      <c r="AP33" s="41">
        <f>H33*(1-0)</f>
        <v>0</v>
      </c>
      <c r="AQ33" s="64" t="s">
        <v>137</v>
      </c>
      <c r="AV33" s="41">
        <f>AW33+AX33</f>
        <v>0</v>
      </c>
      <c r="AW33" s="41">
        <f>G33*AO33</f>
        <v>0</v>
      </c>
      <c r="AX33" s="41">
        <f>G33*AP33</f>
        <v>0</v>
      </c>
      <c r="AY33" s="66" t="s">
        <v>488</v>
      </c>
      <c r="AZ33" s="66" t="s">
        <v>507</v>
      </c>
      <c r="BA33" s="59" t="s">
        <v>512</v>
      </c>
      <c r="BC33" s="41">
        <f>AW33+AX33</f>
        <v>0</v>
      </c>
      <c r="BD33" s="41">
        <f>H33/(100-BE33)*100</f>
        <v>0</v>
      </c>
      <c r="BE33" s="41">
        <v>0</v>
      </c>
      <c r="BF33" s="41">
        <f>M33</f>
        <v>0</v>
      </c>
      <c r="BH33" s="54">
        <f>G33*AO33</f>
        <v>0</v>
      </c>
      <c r="BI33" s="54">
        <f>G33*AP33</f>
        <v>0</v>
      </c>
      <c r="BJ33" s="54">
        <f>G33*H33</f>
        <v>0</v>
      </c>
      <c r="BK33" s="54" t="s">
        <v>517</v>
      </c>
      <c r="BL33" s="41">
        <v>721</v>
      </c>
    </row>
    <row r="34" spans="1:64" ht="30" customHeight="1">
      <c r="A34" s="110" t="s">
        <v>145</v>
      </c>
      <c r="B34" s="130"/>
      <c r="C34" s="130" t="s">
        <v>246</v>
      </c>
      <c r="D34" s="261" t="s">
        <v>359</v>
      </c>
      <c r="E34" s="262"/>
      <c r="F34" s="111" t="s">
        <v>457</v>
      </c>
      <c r="G34" s="112">
        <v>8</v>
      </c>
      <c r="H34" s="134">
        <v>0</v>
      </c>
      <c r="I34" s="137">
        <f>G34*AO34</f>
        <v>0</v>
      </c>
      <c r="J34" s="137">
        <f>G34*AP34</f>
        <v>0</v>
      </c>
      <c r="K34" s="112">
        <f>G34*H34</f>
        <v>0</v>
      </c>
      <c r="L34" s="112">
        <v>0</v>
      </c>
      <c r="M34" s="112">
        <f>G34*L34</f>
        <v>0</v>
      </c>
      <c r="N34" s="113" t="s">
        <v>585</v>
      </c>
      <c r="O34" s="15"/>
      <c r="Z34" s="41">
        <f>IF(AQ34="5",BJ34,0)</f>
        <v>0</v>
      </c>
      <c r="AB34" s="41">
        <f>IF(AQ34="1",BH34,0)</f>
        <v>0</v>
      </c>
      <c r="AC34" s="41">
        <f>IF(AQ34="1",BI34,0)</f>
        <v>0</v>
      </c>
      <c r="AD34" s="41">
        <f>IF(AQ34="7",BH34,0)</f>
        <v>0</v>
      </c>
      <c r="AE34" s="41">
        <f>IF(AQ34="7",BI34,0)</f>
        <v>0</v>
      </c>
      <c r="AF34" s="41">
        <f>IF(AQ34="2",BH34,0)</f>
        <v>0</v>
      </c>
      <c r="AG34" s="41">
        <f>IF(AQ34="2",BI34,0)</f>
        <v>0</v>
      </c>
      <c r="AH34" s="41">
        <f>IF(AQ34="0",BJ34,0)</f>
        <v>0</v>
      </c>
      <c r="AI34" s="59"/>
      <c r="AJ34" s="54">
        <f>IF(AN34=0,K34,0)</f>
        <v>0</v>
      </c>
      <c r="AK34" s="54">
        <f>IF(AN34=15,K34,0)</f>
        <v>0</v>
      </c>
      <c r="AL34" s="54">
        <f>IF(AN34=21,K34,0)</f>
        <v>0</v>
      </c>
      <c r="AN34" s="41">
        <v>21</v>
      </c>
      <c r="AO34" s="41">
        <f>H34*0.0835518920944174</f>
        <v>0</v>
      </c>
      <c r="AP34" s="41">
        <f>H34*(1-0.0835518920944174)</f>
        <v>0</v>
      </c>
      <c r="AQ34" s="64" t="s">
        <v>137</v>
      </c>
      <c r="AV34" s="41">
        <f>AW34+AX34</f>
        <v>0</v>
      </c>
      <c r="AW34" s="41">
        <f>G34*AO34</f>
        <v>0</v>
      </c>
      <c r="AX34" s="41">
        <f>G34*AP34</f>
        <v>0</v>
      </c>
      <c r="AY34" s="66" t="s">
        <v>488</v>
      </c>
      <c r="AZ34" s="66" t="s">
        <v>507</v>
      </c>
      <c r="BA34" s="59" t="s">
        <v>512</v>
      </c>
      <c r="BC34" s="41">
        <f>AW34+AX34</f>
        <v>0</v>
      </c>
      <c r="BD34" s="41">
        <f>H34/(100-BE34)*100</f>
        <v>0</v>
      </c>
      <c r="BE34" s="41">
        <v>0</v>
      </c>
      <c r="BF34" s="41">
        <f>M34</f>
        <v>0</v>
      </c>
      <c r="BH34" s="54">
        <f>G34*AO34</f>
        <v>0</v>
      </c>
      <c r="BI34" s="54">
        <f>G34*AP34</f>
        <v>0</v>
      </c>
      <c r="BJ34" s="54">
        <f>G34*H34</f>
        <v>0</v>
      </c>
      <c r="BK34" s="54" t="s">
        <v>517</v>
      </c>
      <c r="BL34" s="41">
        <v>721</v>
      </c>
    </row>
    <row r="35" spans="1:64" ht="30" customHeight="1">
      <c r="A35" s="110" t="s">
        <v>146</v>
      </c>
      <c r="B35" s="130"/>
      <c r="C35" s="130" t="s">
        <v>247</v>
      </c>
      <c r="D35" s="261" t="s">
        <v>589</v>
      </c>
      <c r="E35" s="262"/>
      <c r="F35" s="111" t="s">
        <v>457</v>
      </c>
      <c r="G35" s="112">
        <v>8</v>
      </c>
      <c r="H35" s="134">
        <v>0</v>
      </c>
      <c r="I35" s="137">
        <f>G35*AO35</f>
        <v>0</v>
      </c>
      <c r="J35" s="137">
        <f>G35*AP35</f>
        <v>0</v>
      </c>
      <c r="K35" s="112">
        <f>G35*H35</f>
        <v>0</v>
      </c>
      <c r="L35" s="112">
        <v>0.00052</v>
      </c>
      <c r="M35" s="112">
        <f>G35*L35</f>
        <v>0.00416</v>
      </c>
      <c r="N35" s="113" t="s">
        <v>585</v>
      </c>
      <c r="O35" s="15"/>
      <c r="Z35" s="41">
        <f>IF(AQ35="5",BJ35,0)</f>
        <v>0</v>
      </c>
      <c r="AB35" s="41">
        <f>IF(AQ35="1",BH35,0)</f>
        <v>0</v>
      </c>
      <c r="AC35" s="41">
        <f>IF(AQ35="1",BI35,0)</f>
        <v>0</v>
      </c>
      <c r="AD35" s="41">
        <f>IF(AQ35="7",BH35,0)</f>
        <v>0</v>
      </c>
      <c r="AE35" s="41">
        <f>IF(AQ35="7",BI35,0)</f>
        <v>0</v>
      </c>
      <c r="AF35" s="41">
        <f>IF(AQ35="2",BH35,0)</f>
        <v>0</v>
      </c>
      <c r="AG35" s="41">
        <f>IF(AQ35="2",BI35,0)</f>
        <v>0</v>
      </c>
      <c r="AH35" s="41">
        <f>IF(AQ35="0",BJ35,0)</f>
        <v>0</v>
      </c>
      <c r="AI35" s="59"/>
      <c r="AJ35" s="54">
        <f>IF(AN35=0,K35,0)</f>
        <v>0</v>
      </c>
      <c r="AK35" s="54">
        <f>IF(AN35=15,K35,0)</f>
        <v>0</v>
      </c>
      <c r="AL35" s="54">
        <f>IF(AN35=21,K35,0)</f>
        <v>0</v>
      </c>
      <c r="AN35" s="41">
        <v>21</v>
      </c>
      <c r="AO35" s="41">
        <f>H35*0.41</f>
        <v>0</v>
      </c>
      <c r="AP35" s="41">
        <f>H35*(1-0.41)</f>
        <v>0</v>
      </c>
      <c r="AQ35" s="64" t="s">
        <v>137</v>
      </c>
      <c r="AV35" s="41">
        <f>AW35+AX35</f>
        <v>0</v>
      </c>
      <c r="AW35" s="41">
        <f>G35*AO35</f>
        <v>0</v>
      </c>
      <c r="AX35" s="41">
        <f>G35*AP35</f>
        <v>0</v>
      </c>
      <c r="AY35" s="66" t="s">
        <v>488</v>
      </c>
      <c r="AZ35" s="66" t="s">
        <v>507</v>
      </c>
      <c r="BA35" s="59" t="s">
        <v>512</v>
      </c>
      <c r="BC35" s="41">
        <f>AW35+AX35</f>
        <v>0</v>
      </c>
      <c r="BD35" s="41">
        <f>H35/(100-BE35)*100</f>
        <v>0</v>
      </c>
      <c r="BE35" s="41">
        <v>0</v>
      </c>
      <c r="BF35" s="41">
        <f>M35</f>
        <v>0.00416</v>
      </c>
      <c r="BH35" s="54">
        <f>G35*AO35</f>
        <v>0</v>
      </c>
      <c r="BI35" s="54">
        <f>G35*AP35</f>
        <v>0</v>
      </c>
      <c r="BJ35" s="54">
        <f>G35*H35</f>
        <v>0</v>
      </c>
      <c r="BK35" s="54" t="s">
        <v>517</v>
      </c>
      <c r="BL35" s="41">
        <v>721</v>
      </c>
    </row>
    <row r="36" spans="1:47" ht="30" customHeight="1">
      <c r="A36" s="114"/>
      <c r="B36" s="131"/>
      <c r="C36" s="131" t="s">
        <v>81</v>
      </c>
      <c r="D36" s="263" t="s">
        <v>105</v>
      </c>
      <c r="E36" s="264"/>
      <c r="F36" s="116" t="s">
        <v>71</v>
      </c>
      <c r="G36" s="116" t="s">
        <v>71</v>
      </c>
      <c r="H36" s="116" t="s">
        <v>71</v>
      </c>
      <c r="I36" s="138" t="s">
        <v>71</v>
      </c>
      <c r="J36" s="138" t="s">
        <v>71</v>
      </c>
      <c r="K36" s="117">
        <f>SUM(K37:K45)</f>
        <v>0</v>
      </c>
      <c r="L36" s="118"/>
      <c r="M36" s="117">
        <f>SUM(M37:M45)</f>
        <v>0.12496</v>
      </c>
      <c r="N36" s="119"/>
      <c r="O36" s="15"/>
      <c r="AI36" s="59"/>
      <c r="AS36" s="69">
        <f>SUM(AJ37:AJ45)</f>
        <v>0</v>
      </c>
      <c r="AT36" s="69">
        <f>SUM(AK37:AK45)</f>
        <v>0</v>
      </c>
      <c r="AU36" s="69">
        <f>SUM(AL37:AL45)</f>
        <v>0</v>
      </c>
    </row>
    <row r="37" spans="1:64" ht="30" customHeight="1">
      <c r="A37" s="110" t="s">
        <v>147</v>
      </c>
      <c r="B37" s="130"/>
      <c r="C37" s="130" t="s">
        <v>248</v>
      </c>
      <c r="D37" s="261" t="s">
        <v>361</v>
      </c>
      <c r="E37" s="262"/>
      <c r="F37" s="111" t="s">
        <v>457</v>
      </c>
      <c r="G37" s="112">
        <v>10</v>
      </c>
      <c r="H37" s="134">
        <v>0</v>
      </c>
      <c r="I37" s="137">
        <f aca="true" t="shared" si="0" ref="I37:I45">G37*AO37</f>
        <v>0</v>
      </c>
      <c r="J37" s="137">
        <f aca="true" t="shared" si="1" ref="J37:J45">G37*AP37</f>
        <v>0</v>
      </c>
      <c r="K37" s="112">
        <f aca="true" t="shared" si="2" ref="K37:K45">G37*H37</f>
        <v>0</v>
      </c>
      <c r="L37" s="112">
        <v>0.00213</v>
      </c>
      <c r="M37" s="112">
        <f aca="true" t="shared" si="3" ref="M37:M45">G37*L37</f>
        <v>0.0213</v>
      </c>
      <c r="N37" s="113" t="s">
        <v>585</v>
      </c>
      <c r="O37" s="15"/>
      <c r="Z37" s="41">
        <f aca="true" t="shared" si="4" ref="Z37:Z45">IF(AQ37="5",BJ37,0)</f>
        <v>0</v>
      </c>
      <c r="AB37" s="41">
        <f aca="true" t="shared" si="5" ref="AB37:AB45">IF(AQ37="1",BH37,0)</f>
        <v>0</v>
      </c>
      <c r="AC37" s="41">
        <f aca="true" t="shared" si="6" ref="AC37:AC45">IF(AQ37="1",BI37,0)</f>
        <v>0</v>
      </c>
      <c r="AD37" s="41">
        <f aca="true" t="shared" si="7" ref="AD37:AD45">IF(AQ37="7",BH37,0)</f>
        <v>0</v>
      </c>
      <c r="AE37" s="41">
        <f aca="true" t="shared" si="8" ref="AE37:AE45">IF(AQ37="7",BI37,0)</f>
        <v>0</v>
      </c>
      <c r="AF37" s="41">
        <f aca="true" t="shared" si="9" ref="AF37:AF45">IF(AQ37="2",BH37,0)</f>
        <v>0</v>
      </c>
      <c r="AG37" s="41">
        <f aca="true" t="shared" si="10" ref="AG37:AG45">IF(AQ37="2",BI37,0)</f>
        <v>0</v>
      </c>
      <c r="AH37" s="41">
        <f aca="true" t="shared" si="11" ref="AH37:AH45">IF(AQ37="0",BJ37,0)</f>
        <v>0</v>
      </c>
      <c r="AI37" s="59"/>
      <c r="AJ37" s="54">
        <f aca="true" t="shared" si="12" ref="AJ37:AJ45">IF(AN37=0,K37,0)</f>
        <v>0</v>
      </c>
      <c r="AK37" s="54">
        <f aca="true" t="shared" si="13" ref="AK37:AK45">IF(AN37=15,K37,0)</f>
        <v>0</v>
      </c>
      <c r="AL37" s="54">
        <f aca="true" t="shared" si="14" ref="AL37:AL45">IF(AN37=21,K37,0)</f>
        <v>0</v>
      </c>
      <c r="AN37" s="41">
        <v>21</v>
      </c>
      <c r="AO37" s="41">
        <f>H37*0</f>
        <v>0</v>
      </c>
      <c r="AP37" s="41">
        <f>H37*(1-0)</f>
        <v>0</v>
      </c>
      <c r="AQ37" s="64" t="s">
        <v>137</v>
      </c>
      <c r="AV37" s="41">
        <f aca="true" t="shared" si="15" ref="AV37:AV45">AW37+AX37</f>
        <v>0</v>
      </c>
      <c r="AW37" s="41">
        <f aca="true" t="shared" si="16" ref="AW37:AW45">G37*AO37</f>
        <v>0</v>
      </c>
      <c r="AX37" s="41">
        <f aca="true" t="shared" si="17" ref="AX37:AX45">G37*AP37</f>
        <v>0</v>
      </c>
      <c r="AY37" s="66" t="s">
        <v>489</v>
      </c>
      <c r="AZ37" s="66" t="s">
        <v>507</v>
      </c>
      <c r="BA37" s="59" t="s">
        <v>512</v>
      </c>
      <c r="BC37" s="41">
        <f aca="true" t="shared" si="18" ref="BC37:BC45">AW37+AX37</f>
        <v>0</v>
      </c>
      <c r="BD37" s="41">
        <f aca="true" t="shared" si="19" ref="BD37:BD45">H37/(100-BE37)*100</f>
        <v>0</v>
      </c>
      <c r="BE37" s="41">
        <v>0</v>
      </c>
      <c r="BF37" s="41">
        <f aca="true" t="shared" si="20" ref="BF37:BF45">M37</f>
        <v>0.0213</v>
      </c>
      <c r="BH37" s="54">
        <f aca="true" t="shared" si="21" ref="BH37:BH45">G37*AO37</f>
        <v>0</v>
      </c>
      <c r="BI37" s="54">
        <f aca="true" t="shared" si="22" ref="BI37:BI45">G37*AP37</f>
        <v>0</v>
      </c>
      <c r="BJ37" s="54">
        <f aca="true" t="shared" si="23" ref="BJ37:BJ45">G37*H37</f>
        <v>0</v>
      </c>
      <c r="BK37" s="54" t="s">
        <v>517</v>
      </c>
      <c r="BL37" s="41">
        <v>722</v>
      </c>
    </row>
    <row r="38" spans="1:64" ht="30" customHeight="1">
      <c r="A38" s="110" t="s">
        <v>148</v>
      </c>
      <c r="B38" s="130"/>
      <c r="C38" s="130" t="s">
        <v>249</v>
      </c>
      <c r="D38" s="261" t="s">
        <v>362</v>
      </c>
      <c r="E38" s="262"/>
      <c r="F38" s="111" t="s">
        <v>457</v>
      </c>
      <c r="G38" s="112">
        <v>17</v>
      </c>
      <c r="H38" s="134">
        <v>0</v>
      </c>
      <c r="I38" s="137">
        <f t="shared" si="0"/>
        <v>0</v>
      </c>
      <c r="J38" s="137">
        <f t="shared" si="1"/>
        <v>0</v>
      </c>
      <c r="K38" s="112">
        <f t="shared" si="2"/>
        <v>0</v>
      </c>
      <c r="L38" s="112">
        <v>0.0003</v>
      </c>
      <c r="M38" s="112">
        <f t="shared" si="3"/>
        <v>0.0050999999999999995</v>
      </c>
      <c r="N38" s="113" t="s">
        <v>585</v>
      </c>
      <c r="O38" s="15"/>
      <c r="Z38" s="41">
        <f t="shared" si="4"/>
        <v>0</v>
      </c>
      <c r="AB38" s="41">
        <f t="shared" si="5"/>
        <v>0</v>
      </c>
      <c r="AC38" s="41">
        <f t="shared" si="6"/>
        <v>0</v>
      </c>
      <c r="AD38" s="41">
        <f t="shared" si="7"/>
        <v>0</v>
      </c>
      <c r="AE38" s="41">
        <f t="shared" si="8"/>
        <v>0</v>
      </c>
      <c r="AF38" s="41">
        <f t="shared" si="9"/>
        <v>0</v>
      </c>
      <c r="AG38" s="41">
        <f t="shared" si="10"/>
        <v>0</v>
      </c>
      <c r="AH38" s="41">
        <f t="shared" si="11"/>
        <v>0</v>
      </c>
      <c r="AI38" s="59"/>
      <c r="AJ38" s="54">
        <f t="shared" si="12"/>
        <v>0</v>
      </c>
      <c r="AK38" s="54">
        <f t="shared" si="13"/>
        <v>0</v>
      </c>
      <c r="AL38" s="54">
        <f t="shared" si="14"/>
        <v>0</v>
      </c>
      <c r="AN38" s="41">
        <v>21</v>
      </c>
      <c r="AO38" s="41">
        <f>H38*0.0858707557502738</f>
        <v>0</v>
      </c>
      <c r="AP38" s="41">
        <f>H38*(1-0.0858707557502738)</f>
        <v>0</v>
      </c>
      <c r="AQ38" s="64" t="s">
        <v>137</v>
      </c>
      <c r="AV38" s="41">
        <f t="shared" si="15"/>
        <v>0</v>
      </c>
      <c r="AW38" s="41">
        <f t="shared" si="16"/>
        <v>0</v>
      </c>
      <c r="AX38" s="41">
        <f t="shared" si="17"/>
        <v>0</v>
      </c>
      <c r="AY38" s="66" t="s">
        <v>489</v>
      </c>
      <c r="AZ38" s="66" t="s">
        <v>507</v>
      </c>
      <c r="BA38" s="59" t="s">
        <v>512</v>
      </c>
      <c r="BC38" s="41">
        <f t="shared" si="18"/>
        <v>0</v>
      </c>
      <c r="BD38" s="41">
        <f t="shared" si="19"/>
        <v>0</v>
      </c>
      <c r="BE38" s="41">
        <v>0</v>
      </c>
      <c r="BF38" s="41">
        <f t="shared" si="20"/>
        <v>0.0050999999999999995</v>
      </c>
      <c r="BH38" s="54">
        <f t="shared" si="21"/>
        <v>0</v>
      </c>
      <c r="BI38" s="54">
        <f t="shared" si="22"/>
        <v>0</v>
      </c>
      <c r="BJ38" s="54">
        <f t="shared" si="23"/>
        <v>0</v>
      </c>
      <c r="BK38" s="54" t="s">
        <v>517</v>
      </c>
      <c r="BL38" s="41">
        <v>722</v>
      </c>
    </row>
    <row r="39" spans="1:64" ht="30" customHeight="1">
      <c r="A39" s="110" t="s">
        <v>149</v>
      </c>
      <c r="B39" s="130"/>
      <c r="C39" s="130" t="s">
        <v>250</v>
      </c>
      <c r="D39" s="261" t="s">
        <v>363</v>
      </c>
      <c r="E39" s="262"/>
      <c r="F39" s="111" t="s">
        <v>457</v>
      </c>
      <c r="G39" s="112">
        <v>17</v>
      </c>
      <c r="H39" s="134">
        <v>0</v>
      </c>
      <c r="I39" s="137">
        <f t="shared" si="0"/>
        <v>0</v>
      </c>
      <c r="J39" s="137">
        <f t="shared" si="1"/>
        <v>0</v>
      </c>
      <c r="K39" s="112">
        <f t="shared" si="2"/>
        <v>0</v>
      </c>
      <c r="L39" s="112">
        <v>0.00518</v>
      </c>
      <c r="M39" s="112">
        <f t="shared" si="3"/>
        <v>0.08806</v>
      </c>
      <c r="N39" s="113" t="s">
        <v>585</v>
      </c>
      <c r="O39" s="15"/>
      <c r="Z39" s="41">
        <f t="shared" si="4"/>
        <v>0</v>
      </c>
      <c r="AB39" s="41">
        <f t="shared" si="5"/>
        <v>0</v>
      </c>
      <c r="AC39" s="41">
        <f t="shared" si="6"/>
        <v>0</v>
      </c>
      <c r="AD39" s="41">
        <f t="shared" si="7"/>
        <v>0</v>
      </c>
      <c r="AE39" s="41">
        <f t="shared" si="8"/>
        <v>0</v>
      </c>
      <c r="AF39" s="41">
        <f t="shared" si="9"/>
        <v>0</v>
      </c>
      <c r="AG39" s="41">
        <f t="shared" si="10"/>
        <v>0</v>
      </c>
      <c r="AH39" s="41">
        <f t="shared" si="11"/>
        <v>0</v>
      </c>
      <c r="AI39" s="59"/>
      <c r="AJ39" s="54">
        <f t="shared" si="12"/>
        <v>0</v>
      </c>
      <c r="AK39" s="54">
        <f t="shared" si="13"/>
        <v>0</v>
      </c>
      <c r="AL39" s="54">
        <f t="shared" si="14"/>
        <v>0</v>
      </c>
      <c r="AN39" s="41">
        <v>21</v>
      </c>
      <c r="AO39" s="41">
        <f>H39*0.258774509803922</f>
        <v>0</v>
      </c>
      <c r="AP39" s="41">
        <f>H39*(1-0.258774509803922)</f>
        <v>0</v>
      </c>
      <c r="AQ39" s="64" t="s">
        <v>137</v>
      </c>
      <c r="AV39" s="41">
        <f t="shared" si="15"/>
        <v>0</v>
      </c>
      <c r="AW39" s="41">
        <f t="shared" si="16"/>
        <v>0</v>
      </c>
      <c r="AX39" s="41">
        <f t="shared" si="17"/>
        <v>0</v>
      </c>
      <c r="AY39" s="66" t="s">
        <v>489</v>
      </c>
      <c r="AZ39" s="66" t="s">
        <v>507</v>
      </c>
      <c r="BA39" s="59" t="s">
        <v>512</v>
      </c>
      <c r="BC39" s="41">
        <f t="shared" si="18"/>
        <v>0</v>
      </c>
      <c r="BD39" s="41">
        <f t="shared" si="19"/>
        <v>0</v>
      </c>
      <c r="BE39" s="41">
        <v>0</v>
      </c>
      <c r="BF39" s="41">
        <f t="shared" si="20"/>
        <v>0.08806</v>
      </c>
      <c r="BH39" s="54">
        <f t="shared" si="21"/>
        <v>0</v>
      </c>
      <c r="BI39" s="54">
        <f t="shared" si="22"/>
        <v>0</v>
      </c>
      <c r="BJ39" s="54">
        <f t="shared" si="23"/>
        <v>0</v>
      </c>
      <c r="BK39" s="54" t="s">
        <v>517</v>
      </c>
      <c r="BL39" s="41">
        <v>722</v>
      </c>
    </row>
    <row r="40" spans="1:64" ht="30" customHeight="1">
      <c r="A40" s="110" t="s">
        <v>150</v>
      </c>
      <c r="B40" s="130"/>
      <c r="C40" s="130" t="s">
        <v>251</v>
      </c>
      <c r="D40" s="261" t="s">
        <v>364</v>
      </c>
      <c r="E40" s="262"/>
      <c r="F40" s="111" t="s">
        <v>457</v>
      </c>
      <c r="G40" s="112">
        <v>17</v>
      </c>
      <c r="H40" s="134">
        <v>0</v>
      </c>
      <c r="I40" s="137">
        <f t="shared" si="0"/>
        <v>0</v>
      </c>
      <c r="J40" s="137">
        <f t="shared" si="1"/>
        <v>0</v>
      </c>
      <c r="K40" s="112">
        <f t="shared" si="2"/>
        <v>0</v>
      </c>
      <c r="L40" s="112">
        <v>3E-05</v>
      </c>
      <c r="M40" s="112">
        <f t="shared" si="3"/>
        <v>0.00051</v>
      </c>
      <c r="N40" s="113" t="s">
        <v>585</v>
      </c>
      <c r="O40" s="15"/>
      <c r="Z40" s="41">
        <f t="shared" si="4"/>
        <v>0</v>
      </c>
      <c r="AB40" s="41">
        <f t="shared" si="5"/>
        <v>0</v>
      </c>
      <c r="AC40" s="41">
        <f t="shared" si="6"/>
        <v>0</v>
      </c>
      <c r="AD40" s="41">
        <f t="shared" si="7"/>
        <v>0</v>
      </c>
      <c r="AE40" s="41">
        <f t="shared" si="8"/>
        <v>0</v>
      </c>
      <c r="AF40" s="41">
        <f t="shared" si="9"/>
        <v>0</v>
      </c>
      <c r="AG40" s="41">
        <f t="shared" si="10"/>
        <v>0</v>
      </c>
      <c r="AH40" s="41">
        <f t="shared" si="11"/>
        <v>0</v>
      </c>
      <c r="AI40" s="59"/>
      <c r="AJ40" s="54">
        <f t="shared" si="12"/>
        <v>0</v>
      </c>
      <c r="AK40" s="54">
        <f t="shared" si="13"/>
        <v>0</v>
      </c>
      <c r="AL40" s="54">
        <f t="shared" si="14"/>
        <v>0</v>
      </c>
      <c r="AN40" s="41">
        <v>21</v>
      </c>
      <c r="AO40" s="41">
        <f>H40*0.597938843311411</f>
        <v>0</v>
      </c>
      <c r="AP40" s="41">
        <f>H40*(1-0.597938843311411)</f>
        <v>0</v>
      </c>
      <c r="AQ40" s="64" t="s">
        <v>137</v>
      </c>
      <c r="AV40" s="41">
        <f t="shared" si="15"/>
        <v>0</v>
      </c>
      <c r="AW40" s="41">
        <f t="shared" si="16"/>
        <v>0</v>
      </c>
      <c r="AX40" s="41">
        <f t="shared" si="17"/>
        <v>0</v>
      </c>
      <c r="AY40" s="66" t="s">
        <v>489</v>
      </c>
      <c r="AZ40" s="66" t="s">
        <v>507</v>
      </c>
      <c r="BA40" s="59" t="s">
        <v>512</v>
      </c>
      <c r="BC40" s="41">
        <f t="shared" si="18"/>
        <v>0</v>
      </c>
      <c r="BD40" s="41">
        <f t="shared" si="19"/>
        <v>0</v>
      </c>
      <c r="BE40" s="41">
        <v>0</v>
      </c>
      <c r="BF40" s="41">
        <f t="shared" si="20"/>
        <v>0.00051</v>
      </c>
      <c r="BH40" s="54">
        <f t="shared" si="21"/>
        <v>0</v>
      </c>
      <c r="BI40" s="54">
        <f t="shared" si="22"/>
        <v>0</v>
      </c>
      <c r="BJ40" s="54">
        <f t="shared" si="23"/>
        <v>0</v>
      </c>
      <c r="BK40" s="54" t="s">
        <v>517</v>
      </c>
      <c r="BL40" s="41">
        <v>722</v>
      </c>
    </row>
    <row r="41" spans="1:64" ht="30" customHeight="1">
      <c r="A41" s="110" t="s">
        <v>151</v>
      </c>
      <c r="B41" s="130"/>
      <c r="C41" s="130" t="s">
        <v>252</v>
      </c>
      <c r="D41" s="261" t="s">
        <v>365</v>
      </c>
      <c r="E41" s="262"/>
      <c r="F41" s="111" t="s">
        <v>459</v>
      </c>
      <c r="G41" s="112">
        <v>5</v>
      </c>
      <c r="H41" s="134">
        <v>0</v>
      </c>
      <c r="I41" s="137">
        <f t="shared" si="0"/>
        <v>0</v>
      </c>
      <c r="J41" s="137">
        <f t="shared" si="1"/>
        <v>0</v>
      </c>
      <c r="K41" s="112">
        <f t="shared" si="2"/>
        <v>0</v>
      </c>
      <c r="L41" s="112">
        <v>0.0017</v>
      </c>
      <c r="M41" s="112">
        <f t="shared" si="3"/>
        <v>0.008499999999999999</v>
      </c>
      <c r="N41" s="113" t="s">
        <v>585</v>
      </c>
      <c r="O41" s="15"/>
      <c r="Z41" s="41">
        <f t="shared" si="4"/>
        <v>0</v>
      </c>
      <c r="AB41" s="41">
        <f t="shared" si="5"/>
        <v>0</v>
      </c>
      <c r="AC41" s="41">
        <f t="shared" si="6"/>
        <v>0</v>
      </c>
      <c r="AD41" s="41">
        <f t="shared" si="7"/>
        <v>0</v>
      </c>
      <c r="AE41" s="41">
        <f t="shared" si="8"/>
        <v>0</v>
      </c>
      <c r="AF41" s="41">
        <f t="shared" si="9"/>
        <v>0</v>
      </c>
      <c r="AG41" s="41">
        <f t="shared" si="10"/>
        <v>0</v>
      </c>
      <c r="AH41" s="41">
        <f t="shared" si="11"/>
        <v>0</v>
      </c>
      <c r="AI41" s="59"/>
      <c r="AJ41" s="54">
        <f t="shared" si="12"/>
        <v>0</v>
      </c>
      <c r="AK41" s="54">
        <f t="shared" si="13"/>
        <v>0</v>
      </c>
      <c r="AL41" s="54">
        <f t="shared" si="14"/>
        <v>0</v>
      </c>
      <c r="AN41" s="41">
        <v>21</v>
      </c>
      <c r="AO41" s="41">
        <f>H41*0.435692640692641</f>
        <v>0</v>
      </c>
      <c r="AP41" s="41">
        <f>H41*(1-0.435692640692641)</f>
        <v>0</v>
      </c>
      <c r="AQ41" s="64" t="s">
        <v>137</v>
      </c>
      <c r="AV41" s="41">
        <f t="shared" si="15"/>
        <v>0</v>
      </c>
      <c r="AW41" s="41">
        <f t="shared" si="16"/>
        <v>0</v>
      </c>
      <c r="AX41" s="41">
        <f t="shared" si="17"/>
        <v>0</v>
      </c>
      <c r="AY41" s="66" t="s">
        <v>489</v>
      </c>
      <c r="AZ41" s="66" t="s">
        <v>507</v>
      </c>
      <c r="BA41" s="59" t="s">
        <v>512</v>
      </c>
      <c r="BC41" s="41">
        <f t="shared" si="18"/>
        <v>0</v>
      </c>
      <c r="BD41" s="41">
        <f t="shared" si="19"/>
        <v>0</v>
      </c>
      <c r="BE41" s="41">
        <v>0</v>
      </c>
      <c r="BF41" s="41">
        <f t="shared" si="20"/>
        <v>0.008499999999999999</v>
      </c>
      <c r="BH41" s="54">
        <f t="shared" si="21"/>
        <v>0</v>
      </c>
      <c r="BI41" s="54">
        <f t="shared" si="22"/>
        <v>0</v>
      </c>
      <c r="BJ41" s="54">
        <f t="shared" si="23"/>
        <v>0</v>
      </c>
      <c r="BK41" s="54" t="s">
        <v>517</v>
      </c>
      <c r="BL41" s="41">
        <v>722</v>
      </c>
    </row>
    <row r="42" spans="1:64" ht="30" customHeight="1">
      <c r="A42" s="110" t="s">
        <v>152</v>
      </c>
      <c r="B42" s="130"/>
      <c r="C42" s="130" t="s">
        <v>253</v>
      </c>
      <c r="D42" s="261" t="s">
        <v>366</v>
      </c>
      <c r="E42" s="262"/>
      <c r="F42" s="111" t="s">
        <v>457</v>
      </c>
      <c r="G42" s="112">
        <v>17</v>
      </c>
      <c r="H42" s="134">
        <v>0</v>
      </c>
      <c r="I42" s="137">
        <f t="shared" si="0"/>
        <v>0</v>
      </c>
      <c r="J42" s="137">
        <f t="shared" si="1"/>
        <v>0</v>
      </c>
      <c r="K42" s="112">
        <f t="shared" si="2"/>
        <v>0</v>
      </c>
      <c r="L42" s="112">
        <v>0</v>
      </c>
      <c r="M42" s="112">
        <f t="shared" si="3"/>
        <v>0</v>
      </c>
      <c r="N42" s="113" t="s">
        <v>585</v>
      </c>
      <c r="O42" s="15"/>
      <c r="Z42" s="41">
        <f t="shared" si="4"/>
        <v>0</v>
      </c>
      <c r="AB42" s="41">
        <f t="shared" si="5"/>
        <v>0</v>
      </c>
      <c r="AC42" s="41">
        <f t="shared" si="6"/>
        <v>0</v>
      </c>
      <c r="AD42" s="41">
        <f t="shared" si="7"/>
        <v>0</v>
      </c>
      <c r="AE42" s="41">
        <f t="shared" si="8"/>
        <v>0</v>
      </c>
      <c r="AF42" s="41">
        <f t="shared" si="9"/>
        <v>0</v>
      </c>
      <c r="AG42" s="41">
        <f t="shared" si="10"/>
        <v>0</v>
      </c>
      <c r="AH42" s="41">
        <f t="shared" si="11"/>
        <v>0</v>
      </c>
      <c r="AI42" s="59"/>
      <c r="AJ42" s="54">
        <f t="shared" si="12"/>
        <v>0</v>
      </c>
      <c r="AK42" s="54">
        <f t="shared" si="13"/>
        <v>0</v>
      </c>
      <c r="AL42" s="54">
        <f t="shared" si="14"/>
        <v>0</v>
      </c>
      <c r="AN42" s="41">
        <v>21</v>
      </c>
      <c r="AO42" s="41">
        <f>H42*0.0192090395480226</f>
        <v>0</v>
      </c>
      <c r="AP42" s="41">
        <f>H42*(1-0.0192090395480226)</f>
        <v>0</v>
      </c>
      <c r="AQ42" s="64" t="s">
        <v>137</v>
      </c>
      <c r="AV42" s="41">
        <f t="shared" si="15"/>
        <v>0</v>
      </c>
      <c r="AW42" s="41">
        <f t="shared" si="16"/>
        <v>0</v>
      </c>
      <c r="AX42" s="41">
        <f t="shared" si="17"/>
        <v>0</v>
      </c>
      <c r="AY42" s="66" t="s">
        <v>489</v>
      </c>
      <c r="AZ42" s="66" t="s">
        <v>507</v>
      </c>
      <c r="BA42" s="59" t="s">
        <v>512</v>
      </c>
      <c r="BC42" s="41">
        <f t="shared" si="18"/>
        <v>0</v>
      </c>
      <c r="BD42" s="41">
        <f t="shared" si="19"/>
        <v>0</v>
      </c>
      <c r="BE42" s="41">
        <v>0</v>
      </c>
      <c r="BF42" s="41">
        <f t="shared" si="20"/>
        <v>0</v>
      </c>
      <c r="BH42" s="54">
        <f t="shared" si="21"/>
        <v>0</v>
      </c>
      <c r="BI42" s="54">
        <f t="shared" si="22"/>
        <v>0</v>
      </c>
      <c r="BJ42" s="54">
        <f t="shared" si="23"/>
        <v>0</v>
      </c>
      <c r="BK42" s="54" t="s">
        <v>517</v>
      </c>
      <c r="BL42" s="41">
        <v>722</v>
      </c>
    </row>
    <row r="43" spans="1:64" ht="30" customHeight="1">
      <c r="A43" s="110" t="s">
        <v>153</v>
      </c>
      <c r="B43" s="130"/>
      <c r="C43" s="130" t="s">
        <v>254</v>
      </c>
      <c r="D43" s="261" t="s">
        <v>367</v>
      </c>
      <c r="E43" s="262"/>
      <c r="F43" s="111" t="s">
        <v>457</v>
      </c>
      <c r="G43" s="112">
        <v>17</v>
      </c>
      <c r="H43" s="134">
        <v>0</v>
      </c>
      <c r="I43" s="137">
        <f t="shared" si="0"/>
        <v>0</v>
      </c>
      <c r="J43" s="137">
        <f t="shared" si="1"/>
        <v>0</v>
      </c>
      <c r="K43" s="112">
        <f t="shared" si="2"/>
        <v>0</v>
      </c>
      <c r="L43" s="112">
        <v>1E-05</v>
      </c>
      <c r="M43" s="112">
        <f t="shared" si="3"/>
        <v>0.00017</v>
      </c>
      <c r="N43" s="113" t="s">
        <v>585</v>
      </c>
      <c r="O43" s="15"/>
      <c r="Z43" s="41">
        <f t="shared" si="4"/>
        <v>0</v>
      </c>
      <c r="AB43" s="41">
        <f t="shared" si="5"/>
        <v>0</v>
      </c>
      <c r="AC43" s="41">
        <f t="shared" si="6"/>
        <v>0</v>
      </c>
      <c r="AD43" s="41">
        <f t="shared" si="7"/>
        <v>0</v>
      </c>
      <c r="AE43" s="41">
        <f t="shared" si="8"/>
        <v>0</v>
      </c>
      <c r="AF43" s="41">
        <f t="shared" si="9"/>
        <v>0</v>
      </c>
      <c r="AG43" s="41">
        <f t="shared" si="10"/>
        <v>0</v>
      </c>
      <c r="AH43" s="41">
        <f t="shared" si="11"/>
        <v>0</v>
      </c>
      <c r="AI43" s="59"/>
      <c r="AJ43" s="54">
        <f t="shared" si="12"/>
        <v>0</v>
      </c>
      <c r="AK43" s="54">
        <f t="shared" si="13"/>
        <v>0</v>
      </c>
      <c r="AL43" s="54">
        <f t="shared" si="14"/>
        <v>0</v>
      </c>
      <c r="AN43" s="41">
        <v>21</v>
      </c>
      <c r="AO43" s="41">
        <f>H43*0.0533546325878594</f>
        <v>0</v>
      </c>
      <c r="AP43" s="41">
        <f>H43*(1-0.0533546325878594)</f>
        <v>0</v>
      </c>
      <c r="AQ43" s="64" t="s">
        <v>137</v>
      </c>
      <c r="AV43" s="41">
        <f t="shared" si="15"/>
        <v>0</v>
      </c>
      <c r="AW43" s="41">
        <f t="shared" si="16"/>
        <v>0</v>
      </c>
      <c r="AX43" s="41">
        <f t="shared" si="17"/>
        <v>0</v>
      </c>
      <c r="AY43" s="66" t="s">
        <v>489</v>
      </c>
      <c r="AZ43" s="66" t="s">
        <v>507</v>
      </c>
      <c r="BA43" s="59" t="s">
        <v>512</v>
      </c>
      <c r="BC43" s="41">
        <f t="shared" si="18"/>
        <v>0</v>
      </c>
      <c r="BD43" s="41">
        <f t="shared" si="19"/>
        <v>0</v>
      </c>
      <c r="BE43" s="41">
        <v>0</v>
      </c>
      <c r="BF43" s="41">
        <f t="shared" si="20"/>
        <v>0.00017</v>
      </c>
      <c r="BH43" s="54">
        <f t="shared" si="21"/>
        <v>0</v>
      </c>
      <c r="BI43" s="54">
        <f t="shared" si="22"/>
        <v>0</v>
      </c>
      <c r="BJ43" s="54">
        <f t="shared" si="23"/>
        <v>0</v>
      </c>
      <c r="BK43" s="54" t="s">
        <v>517</v>
      </c>
      <c r="BL43" s="41">
        <v>722</v>
      </c>
    </row>
    <row r="44" spans="1:64" ht="30" customHeight="1">
      <c r="A44" s="110" t="s">
        <v>154</v>
      </c>
      <c r="B44" s="130"/>
      <c r="C44" s="130" t="s">
        <v>255</v>
      </c>
      <c r="D44" s="261" t="s">
        <v>368</v>
      </c>
      <c r="E44" s="262"/>
      <c r="F44" s="111" t="s">
        <v>458</v>
      </c>
      <c r="G44" s="112">
        <v>2</v>
      </c>
      <c r="H44" s="134">
        <v>0</v>
      </c>
      <c r="I44" s="137">
        <f t="shared" si="0"/>
        <v>0</v>
      </c>
      <c r="J44" s="137">
        <f t="shared" si="1"/>
        <v>0</v>
      </c>
      <c r="K44" s="112">
        <f t="shared" si="2"/>
        <v>0</v>
      </c>
      <c r="L44" s="112">
        <v>0.00021</v>
      </c>
      <c r="M44" s="112">
        <f t="shared" si="3"/>
        <v>0.00042</v>
      </c>
      <c r="N44" s="113" t="s">
        <v>585</v>
      </c>
      <c r="O44" s="15"/>
      <c r="Z44" s="41">
        <f t="shared" si="4"/>
        <v>0</v>
      </c>
      <c r="AB44" s="41">
        <f t="shared" si="5"/>
        <v>0</v>
      </c>
      <c r="AC44" s="41">
        <f t="shared" si="6"/>
        <v>0</v>
      </c>
      <c r="AD44" s="41">
        <f t="shared" si="7"/>
        <v>0</v>
      </c>
      <c r="AE44" s="41">
        <f t="shared" si="8"/>
        <v>0</v>
      </c>
      <c r="AF44" s="41">
        <f t="shared" si="9"/>
        <v>0</v>
      </c>
      <c r="AG44" s="41">
        <f t="shared" si="10"/>
        <v>0</v>
      </c>
      <c r="AH44" s="41">
        <f t="shared" si="11"/>
        <v>0</v>
      </c>
      <c r="AI44" s="59"/>
      <c r="AJ44" s="54">
        <f t="shared" si="12"/>
        <v>0</v>
      </c>
      <c r="AK44" s="54">
        <f t="shared" si="13"/>
        <v>0</v>
      </c>
      <c r="AL44" s="54">
        <f t="shared" si="14"/>
        <v>0</v>
      </c>
      <c r="AN44" s="41">
        <v>21</v>
      </c>
      <c r="AO44" s="41">
        <f>H44*0.778970789889007</f>
        <v>0</v>
      </c>
      <c r="AP44" s="41">
        <f>H44*(1-0.778970789889007)</f>
        <v>0</v>
      </c>
      <c r="AQ44" s="64" t="s">
        <v>137</v>
      </c>
      <c r="AV44" s="41">
        <f t="shared" si="15"/>
        <v>0</v>
      </c>
      <c r="AW44" s="41">
        <f t="shared" si="16"/>
        <v>0</v>
      </c>
      <c r="AX44" s="41">
        <f t="shared" si="17"/>
        <v>0</v>
      </c>
      <c r="AY44" s="66" t="s">
        <v>489</v>
      </c>
      <c r="AZ44" s="66" t="s">
        <v>507</v>
      </c>
      <c r="BA44" s="59" t="s">
        <v>512</v>
      </c>
      <c r="BC44" s="41">
        <f t="shared" si="18"/>
        <v>0</v>
      </c>
      <c r="BD44" s="41">
        <f t="shared" si="19"/>
        <v>0</v>
      </c>
      <c r="BE44" s="41">
        <v>0</v>
      </c>
      <c r="BF44" s="41">
        <f t="shared" si="20"/>
        <v>0.00042</v>
      </c>
      <c r="BH44" s="54">
        <f t="shared" si="21"/>
        <v>0</v>
      </c>
      <c r="BI44" s="54">
        <f t="shared" si="22"/>
        <v>0</v>
      </c>
      <c r="BJ44" s="54">
        <f t="shared" si="23"/>
        <v>0</v>
      </c>
      <c r="BK44" s="54" t="s">
        <v>517</v>
      </c>
      <c r="BL44" s="41">
        <v>722</v>
      </c>
    </row>
    <row r="45" spans="1:64" ht="30" customHeight="1">
      <c r="A45" s="110" t="s">
        <v>155</v>
      </c>
      <c r="B45" s="130"/>
      <c r="C45" s="130" t="s">
        <v>256</v>
      </c>
      <c r="D45" s="261" t="s">
        <v>369</v>
      </c>
      <c r="E45" s="262"/>
      <c r="F45" s="111" t="s">
        <v>458</v>
      </c>
      <c r="G45" s="112">
        <v>10</v>
      </c>
      <c r="H45" s="134">
        <v>0</v>
      </c>
      <c r="I45" s="137">
        <f t="shared" si="0"/>
        <v>0</v>
      </c>
      <c r="J45" s="137">
        <f t="shared" si="1"/>
        <v>0</v>
      </c>
      <c r="K45" s="112">
        <f t="shared" si="2"/>
        <v>0</v>
      </c>
      <c r="L45" s="112">
        <v>9E-05</v>
      </c>
      <c r="M45" s="112">
        <f t="shared" si="3"/>
        <v>0.0009000000000000001</v>
      </c>
      <c r="N45" s="113" t="s">
        <v>585</v>
      </c>
      <c r="O45" s="15"/>
      <c r="Z45" s="41">
        <f t="shared" si="4"/>
        <v>0</v>
      </c>
      <c r="AB45" s="41">
        <f t="shared" si="5"/>
        <v>0</v>
      </c>
      <c r="AC45" s="41">
        <f t="shared" si="6"/>
        <v>0</v>
      </c>
      <c r="AD45" s="41">
        <f t="shared" si="7"/>
        <v>0</v>
      </c>
      <c r="AE45" s="41">
        <f t="shared" si="8"/>
        <v>0</v>
      </c>
      <c r="AF45" s="41">
        <f t="shared" si="9"/>
        <v>0</v>
      </c>
      <c r="AG45" s="41">
        <f t="shared" si="10"/>
        <v>0</v>
      </c>
      <c r="AH45" s="41">
        <f t="shared" si="11"/>
        <v>0</v>
      </c>
      <c r="AI45" s="59"/>
      <c r="AJ45" s="54">
        <f t="shared" si="12"/>
        <v>0</v>
      </c>
      <c r="AK45" s="54">
        <f t="shared" si="13"/>
        <v>0</v>
      </c>
      <c r="AL45" s="54">
        <f t="shared" si="14"/>
        <v>0</v>
      </c>
      <c r="AN45" s="41">
        <v>21</v>
      </c>
      <c r="AO45" s="41">
        <f>H45*0.754418738324472</f>
        <v>0</v>
      </c>
      <c r="AP45" s="41">
        <f>H45*(1-0.754418738324472)</f>
        <v>0</v>
      </c>
      <c r="AQ45" s="64" t="s">
        <v>137</v>
      </c>
      <c r="AV45" s="41">
        <f t="shared" si="15"/>
        <v>0</v>
      </c>
      <c r="AW45" s="41">
        <f t="shared" si="16"/>
        <v>0</v>
      </c>
      <c r="AX45" s="41">
        <f t="shared" si="17"/>
        <v>0</v>
      </c>
      <c r="AY45" s="66" t="s">
        <v>489</v>
      </c>
      <c r="AZ45" s="66" t="s">
        <v>507</v>
      </c>
      <c r="BA45" s="59" t="s">
        <v>512</v>
      </c>
      <c r="BC45" s="41">
        <f t="shared" si="18"/>
        <v>0</v>
      </c>
      <c r="BD45" s="41">
        <f t="shared" si="19"/>
        <v>0</v>
      </c>
      <c r="BE45" s="41">
        <v>0</v>
      </c>
      <c r="BF45" s="41">
        <f t="shared" si="20"/>
        <v>0.0009000000000000001</v>
      </c>
      <c r="BH45" s="54">
        <f t="shared" si="21"/>
        <v>0</v>
      </c>
      <c r="BI45" s="54">
        <f t="shared" si="22"/>
        <v>0</v>
      </c>
      <c r="BJ45" s="54">
        <f t="shared" si="23"/>
        <v>0</v>
      </c>
      <c r="BK45" s="54" t="s">
        <v>517</v>
      </c>
      <c r="BL45" s="41">
        <v>722</v>
      </c>
    </row>
    <row r="46" spans="1:47" ht="30" customHeight="1">
      <c r="A46" s="114"/>
      <c r="B46" s="131"/>
      <c r="C46" s="131" t="s">
        <v>82</v>
      </c>
      <c r="D46" s="263" t="s">
        <v>106</v>
      </c>
      <c r="E46" s="264"/>
      <c r="F46" s="116" t="s">
        <v>71</v>
      </c>
      <c r="G46" s="116" t="s">
        <v>71</v>
      </c>
      <c r="H46" s="116" t="s">
        <v>71</v>
      </c>
      <c r="I46" s="138" t="s">
        <v>71</v>
      </c>
      <c r="J46" s="138" t="s">
        <v>71</v>
      </c>
      <c r="K46" s="117">
        <f>SUM(K47:K52)</f>
        <v>0</v>
      </c>
      <c r="L46" s="118"/>
      <c r="M46" s="117">
        <f>SUM(M47:M52)</f>
        <v>0.17365</v>
      </c>
      <c r="N46" s="119"/>
      <c r="O46" s="15"/>
      <c r="AI46" s="59"/>
      <c r="AS46" s="69">
        <f>SUM(AJ47:AJ52)</f>
        <v>0</v>
      </c>
      <c r="AT46" s="69">
        <f>SUM(AK47:AK52)</f>
        <v>0</v>
      </c>
      <c r="AU46" s="69">
        <f>SUM(AL47:AL52)</f>
        <v>0</v>
      </c>
    </row>
    <row r="47" spans="1:64" ht="30" customHeight="1">
      <c r="A47" s="110" t="s">
        <v>156</v>
      </c>
      <c r="B47" s="130"/>
      <c r="C47" s="130" t="s">
        <v>257</v>
      </c>
      <c r="D47" s="261" t="s">
        <v>370</v>
      </c>
      <c r="E47" s="262"/>
      <c r="F47" s="111" t="s">
        <v>460</v>
      </c>
      <c r="G47" s="112">
        <v>5</v>
      </c>
      <c r="H47" s="134">
        <v>0</v>
      </c>
      <c r="I47" s="137">
        <f aca="true" t="shared" si="24" ref="I47:I52">G47*AO47</f>
        <v>0</v>
      </c>
      <c r="J47" s="137">
        <f aca="true" t="shared" si="25" ref="J47:J52">G47*AP47</f>
        <v>0</v>
      </c>
      <c r="K47" s="112">
        <f aca="true" t="shared" si="26" ref="K47:K52">G47*H47</f>
        <v>0</v>
      </c>
      <c r="L47" s="112">
        <v>0.01946</v>
      </c>
      <c r="M47" s="112">
        <f aca="true" t="shared" si="27" ref="M47:M52">G47*L47</f>
        <v>0.09730000000000001</v>
      </c>
      <c r="N47" s="113" t="s">
        <v>585</v>
      </c>
      <c r="O47" s="15"/>
      <c r="Z47" s="41">
        <f aca="true" t="shared" si="28" ref="Z47:Z52">IF(AQ47="5",BJ47,0)</f>
        <v>0</v>
      </c>
      <c r="AB47" s="41">
        <f aca="true" t="shared" si="29" ref="AB47:AB52">IF(AQ47="1",BH47,0)</f>
        <v>0</v>
      </c>
      <c r="AC47" s="41">
        <f aca="true" t="shared" si="30" ref="AC47:AC52">IF(AQ47="1",BI47,0)</f>
        <v>0</v>
      </c>
      <c r="AD47" s="41">
        <f aca="true" t="shared" si="31" ref="AD47:AD52">IF(AQ47="7",BH47,0)</f>
        <v>0</v>
      </c>
      <c r="AE47" s="41">
        <f aca="true" t="shared" si="32" ref="AE47:AE52">IF(AQ47="7",BI47,0)</f>
        <v>0</v>
      </c>
      <c r="AF47" s="41">
        <f aca="true" t="shared" si="33" ref="AF47:AF52">IF(AQ47="2",BH47,0)</f>
        <v>0</v>
      </c>
      <c r="AG47" s="41">
        <f aca="true" t="shared" si="34" ref="AG47:AG52">IF(AQ47="2",BI47,0)</f>
        <v>0</v>
      </c>
      <c r="AH47" s="41">
        <f aca="true" t="shared" si="35" ref="AH47:AH52">IF(AQ47="0",BJ47,0)</f>
        <v>0</v>
      </c>
      <c r="AI47" s="59"/>
      <c r="AJ47" s="54">
        <f aca="true" t="shared" si="36" ref="AJ47:AJ52">IF(AN47=0,K47,0)</f>
        <v>0</v>
      </c>
      <c r="AK47" s="54">
        <f aca="true" t="shared" si="37" ref="AK47:AK52">IF(AN47=15,K47,0)</f>
        <v>0</v>
      </c>
      <c r="AL47" s="54">
        <f aca="true" t="shared" si="38" ref="AL47:AL52">IF(AN47=21,K47,0)</f>
        <v>0</v>
      </c>
      <c r="AN47" s="41">
        <v>21</v>
      </c>
      <c r="AO47" s="41">
        <f>H47*0</f>
        <v>0</v>
      </c>
      <c r="AP47" s="41">
        <f>H47*(1-0)</f>
        <v>0</v>
      </c>
      <c r="AQ47" s="64" t="s">
        <v>137</v>
      </c>
      <c r="AV47" s="41">
        <f aca="true" t="shared" si="39" ref="AV47:AV52">AW47+AX47</f>
        <v>0</v>
      </c>
      <c r="AW47" s="41">
        <f aca="true" t="shared" si="40" ref="AW47:AW52">G47*AO47</f>
        <v>0</v>
      </c>
      <c r="AX47" s="41">
        <f aca="true" t="shared" si="41" ref="AX47:AX52">G47*AP47</f>
        <v>0</v>
      </c>
      <c r="AY47" s="66" t="s">
        <v>490</v>
      </c>
      <c r="AZ47" s="66" t="s">
        <v>507</v>
      </c>
      <c r="BA47" s="59" t="s">
        <v>512</v>
      </c>
      <c r="BC47" s="41">
        <f aca="true" t="shared" si="42" ref="BC47:BC52">AW47+AX47</f>
        <v>0</v>
      </c>
      <c r="BD47" s="41">
        <f aca="true" t="shared" si="43" ref="BD47:BD52">H47/(100-BE47)*100</f>
        <v>0</v>
      </c>
      <c r="BE47" s="41">
        <v>0</v>
      </c>
      <c r="BF47" s="41">
        <f aca="true" t="shared" si="44" ref="BF47:BF52">M47</f>
        <v>0.09730000000000001</v>
      </c>
      <c r="BH47" s="54">
        <f aca="true" t="shared" si="45" ref="BH47:BH52">G47*AO47</f>
        <v>0</v>
      </c>
      <c r="BI47" s="54">
        <f aca="true" t="shared" si="46" ref="BI47:BI52">G47*AP47</f>
        <v>0</v>
      </c>
      <c r="BJ47" s="54">
        <f aca="true" t="shared" si="47" ref="BJ47:BJ52">G47*H47</f>
        <v>0</v>
      </c>
      <c r="BK47" s="54" t="s">
        <v>517</v>
      </c>
      <c r="BL47" s="41">
        <v>725</v>
      </c>
    </row>
    <row r="48" spans="1:64" ht="30" customHeight="1">
      <c r="A48" s="110" t="s">
        <v>157</v>
      </c>
      <c r="B48" s="130"/>
      <c r="C48" s="130" t="s">
        <v>258</v>
      </c>
      <c r="D48" s="261" t="s">
        <v>371</v>
      </c>
      <c r="E48" s="262"/>
      <c r="F48" s="111" t="s">
        <v>458</v>
      </c>
      <c r="G48" s="112">
        <v>5</v>
      </c>
      <c r="H48" s="134">
        <v>0</v>
      </c>
      <c r="I48" s="137">
        <f t="shared" si="24"/>
        <v>0</v>
      </c>
      <c r="J48" s="137">
        <f t="shared" si="25"/>
        <v>0</v>
      </c>
      <c r="K48" s="112">
        <f t="shared" si="26"/>
        <v>0</v>
      </c>
      <c r="L48" s="112">
        <v>0</v>
      </c>
      <c r="M48" s="112">
        <f t="shared" si="27"/>
        <v>0</v>
      </c>
      <c r="N48" s="113" t="s">
        <v>585</v>
      </c>
      <c r="O48" s="15"/>
      <c r="Z48" s="41">
        <f t="shared" si="28"/>
        <v>0</v>
      </c>
      <c r="AB48" s="41">
        <f t="shared" si="29"/>
        <v>0</v>
      </c>
      <c r="AC48" s="41">
        <f t="shared" si="30"/>
        <v>0</v>
      </c>
      <c r="AD48" s="41">
        <f t="shared" si="31"/>
        <v>0</v>
      </c>
      <c r="AE48" s="41">
        <f t="shared" si="32"/>
        <v>0</v>
      </c>
      <c r="AF48" s="41">
        <f t="shared" si="33"/>
        <v>0</v>
      </c>
      <c r="AG48" s="41">
        <f t="shared" si="34"/>
        <v>0</v>
      </c>
      <c r="AH48" s="41">
        <f t="shared" si="35"/>
        <v>0</v>
      </c>
      <c r="AI48" s="59"/>
      <c r="AJ48" s="54">
        <f t="shared" si="36"/>
        <v>0</v>
      </c>
      <c r="AK48" s="54">
        <f t="shared" si="37"/>
        <v>0</v>
      </c>
      <c r="AL48" s="54">
        <f t="shared" si="38"/>
        <v>0</v>
      </c>
      <c r="AN48" s="41">
        <v>21</v>
      </c>
      <c r="AO48" s="41">
        <f>H48*0.635541379310345</f>
        <v>0</v>
      </c>
      <c r="AP48" s="41">
        <f>H48*(1-0.635541379310345)</f>
        <v>0</v>
      </c>
      <c r="AQ48" s="64" t="s">
        <v>137</v>
      </c>
      <c r="AV48" s="41">
        <f t="shared" si="39"/>
        <v>0</v>
      </c>
      <c r="AW48" s="41">
        <f t="shared" si="40"/>
        <v>0</v>
      </c>
      <c r="AX48" s="41">
        <f t="shared" si="41"/>
        <v>0</v>
      </c>
      <c r="AY48" s="66" t="s">
        <v>490</v>
      </c>
      <c r="AZ48" s="66" t="s">
        <v>507</v>
      </c>
      <c r="BA48" s="59" t="s">
        <v>512</v>
      </c>
      <c r="BC48" s="41">
        <f t="shared" si="42"/>
        <v>0</v>
      </c>
      <c r="BD48" s="41">
        <f t="shared" si="43"/>
        <v>0</v>
      </c>
      <c r="BE48" s="41">
        <v>0</v>
      </c>
      <c r="BF48" s="41">
        <f t="shared" si="44"/>
        <v>0</v>
      </c>
      <c r="BH48" s="54">
        <f t="shared" si="45"/>
        <v>0</v>
      </c>
      <c r="BI48" s="54">
        <f t="shared" si="46"/>
        <v>0</v>
      </c>
      <c r="BJ48" s="54">
        <f t="shared" si="47"/>
        <v>0</v>
      </c>
      <c r="BK48" s="54" t="s">
        <v>517</v>
      </c>
      <c r="BL48" s="41">
        <v>725</v>
      </c>
    </row>
    <row r="49" spans="1:64" ht="30" customHeight="1">
      <c r="A49" s="110" t="s">
        <v>158</v>
      </c>
      <c r="B49" s="130"/>
      <c r="C49" s="130" t="s">
        <v>259</v>
      </c>
      <c r="D49" s="261" t="s">
        <v>372</v>
      </c>
      <c r="E49" s="262"/>
      <c r="F49" s="111" t="s">
        <v>461</v>
      </c>
      <c r="G49" s="112">
        <v>5</v>
      </c>
      <c r="H49" s="134">
        <v>0</v>
      </c>
      <c r="I49" s="137">
        <f t="shared" si="24"/>
        <v>0</v>
      </c>
      <c r="J49" s="137">
        <f t="shared" si="25"/>
        <v>0</v>
      </c>
      <c r="K49" s="112">
        <f t="shared" si="26"/>
        <v>0</v>
      </c>
      <c r="L49" s="112">
        <v>0.01401</v>
      </c>
      <c r="M49" s="112">
        <f t="shared" si="27"/>
        <v>0.07005</v>
      </c>
      <c r="N49" s="113" t="s">
        <v>585</v>
      </c>
      <c r="O49" s="15"/>
      <c r="Z49" s="41">
        <f t="shared" si="28"/>
        <v>0</v>
      </c>
      <c r="AB49" s="41">
        <f t="shared" si="29"/>
        <v>0</v>
      </c>
      <c r="AC49" s="41">
        <f t="shared" si="30"/>
        <v>0</v>
      </c>
      <c r="AD49" s="41">
        <f t="shared" si="31"/>
        <v>0</v>
      </c>
      <c r="AE49" s="41">
        <f t="shared" si="32"/>
        <v>0</v>
      </c>
      <c r="AF49" s="41">
        <f t="shared" si="33"/>
        <v>0</v>
      </c>
      <c r="AG49" s="41">
        <f t="shared" si="34"/>
        <v>0</v>
      </c>
      <c r="AH49" s="41">
        <f t="shared" si="35"/>
        <v>0</v>
      </c>
      <c r="AI49" s="59"/>
      <c r="AJ49" s="54">
        <f t="shared" si="36"/>
        <v>0</v>
      </c>
      <c r="AK49" s="54">
        <f t="shared" si="37"/>
        <v>0</v>
      </c>
      <c r="AL49" s="54">
        <f t="shared" si="38"/>
        <v>0</v>
      </c>
      <c r="AN49" s="41">
        <v>21</v>
      </c>
      <c r="AO49" s="41">
        <f>H49*0.863352188151235</f>
        <v>0</v>
      </c>
      <c r="AP49" s="41">
        <f>H49*(1-0.863352188151235)</f>
        <v>0</v>
      </c>
      <c r="AQ49" s="64" t="s">
        <v>137</v>
      </c>
      <c r="AV49" s="41">
        <f t="shared" si="39"/>
        <v>0</v>
      </c>
      <c r="AW49" s="41">
        <f t="shared" si="40"/>
        <v>0</v>
      </c>
      <c r="AX49" s="41">
        <f t="shared" si="41"/>
        <v>0</v>
      </c>
      <c r="AY49" s="66" t="s">
        <v>490</v>
      </c>
      <c r="AZ49" s="66" t="s">
        <v>507</v>
      </c>
      <c r="BA49" s="59" t="s">
        <v>512</v>
      </c>
      <c r="BC49" s="41">
        <f t="shared" si="42"/>
        <v>0</v>
      </c>
      <c r="BD49" s="41">
        <f t="shared" si="43"/>
        <v>0</v>
      </c>
      <c r="BE49" s="41">
        <v>0</v>
      </c>
      <c r="BF49" s="41">
        <f t="shared" si="44"/>
        <v>0.07005</v>
      </c>
      <c r="BH49" s="54">
        <f t="shared" si="45"/>
        <v>0</v>
      </c>
      <c r="BI49" s="54">
        <f t="shared" si="46"/>
        <v>0</v>
      </c>
      <c r="BJ49" s="54">
        <f t="shared" si="47"/>
        <v>0</v>
      </c>
      <c r="BK49" s="54" t="s">
        <v>517</v>
      </c>
      <c r="BL49" s="41">
        <v>725</v>
      </c>
    </row>
    <row r="50" spans="1:64" ht="30" customHeight="1">
      <c r="A50" s="110" t="s">
        <v>159</v>
      </c>
      <c r="B50" s="130"/>
      <c r="C50" s="130" t="s">
        <v>260</v>
      </c>
      <c r="D50" s="261" t="s">
        <v>373</v>
      </c>
      <c r="E50" s="262"/>
      <c r="F50" s="111" t="s">
        <v>458</v>
      </c>
      <c r="G50" s="112">
        <v>1</v>
      </c>
      <c r="H50" s="134">
        <v>0</v>
      </c>
      <c r="I50" s="137">
        <f t="shared" si="24"/>
        <v>0</v>
      </c>
      <c r="J50" s="137">
        <f t="shared" si="25"/>
        <v>0</v>
      </c>
      <c r="K50" s="112">
        <f t="shared" si="26"/>
        <v>0</v>
      </c>
      <c r="L50" s="112">
        <v>0</v>
      </c>
      <c r="M50" s="112">
        <f t="shared" si="27"/>
        <v>0</v>
      </c>
      <c r="N50" s="113" t="s">
        <v>585</v>
      </c>
      <c r="O50" s="15"/>
      <c r="Z50" s="41">
        <f t="shared" si="28"/>
        <v>0</v>
      </c>
      <c r="AB50" s="41">
        <f t="shared" si="29"/>
        <v>0</v>
      </c>
      <c r="AC50" s="41">
        <f t="shared" si="30"/>
        <v>0</v>
      </c>
      <c r="AD50" s="41">
        <f t="shared" si="31"/>
        <v>0</v>
      </c>
      <c r="AE50" s="41">
        <f t="shared" si="32"/>
        <v>0</v>
      </c>
      <c r="AF50" s="41">
        <f t="shared" si="33"/>
        <v>0</v>
      </c>
      <c r="AG50" s="41">
        <f t="shared" si="34"/>
        <v>0</v>
      </c>
      <c r="AH50" s="41">
        <f t="shared" si="35"/>
        <v>0</v>
      </c>
      <c r="AI50" s="59"/>
      <c r="AJ50" s="54">
        <f t="shared" si="36"/>
        <v>0</v>
      </c>
      <c r="AK50" s="54">
        <f t="shared" si="37"/>
        <v>0</v>
      </c>
      <c r="AL50" s="54">
        <f t="shared" si="38"/>
        <v>0</v>
      </c>
      <c r="AN50" s="41">
        <v>21</v>
      </c>
      <c r="AO50" s="41">
        <f>H50*0.656672733071915</f>
        <v>0</v>
      </c>
      <c r="AP50" s="41">
        <f>H50*(1-0.656672733071915)</f>
        <v>0</v>
      </c>
      <c r="AQ50" s="64" t="s">
        <v>137</v>
      </c>
      <c r="AV50" s="41">
        <f t="shared" si="39"/>
        <v>0</v>
      </c>
      <c r="AW50" s="41">
        <f t="shared" si="40"/>
        <v>0</v>
      </c>
      <c r="AX50" s="41">
        <f t="shared" si="41"/>
        <v>0</v>
      </c>
      <c r="AY50" s="66" t="s">
        <v>490</v>
      </c>
      <c r="AZ50" s="66" t="s">
        <v>507</v>
      </c>
      <c r="BA50" s="59" t="s">
        <v>512</v>
      </c>
      <c r="BC50" s="41">
        <f t="shared" si="42"/>
        <v>0</v>
      </c>
      <c r="BD50" s="41">
        <f t="shared" si="43"/>
        <v>0</v>
      </c>
      <c r="BE50" s="41">
        <v>0</v>
      </c>
      <c r="BF50" s="41">
        <f t="shared" si="44"/>
        <v>0</v>
      </c>
      <c r="BH50" s="54">
        <f t="shared" si="45"/>
        <v>0</v>
      </c>
      <c r="BI50" s="54">
        <f t="shared" si="46"/>
        <v>0</v>
      </c>
      <c r="BJ50" s="54">
        <f t="shared" si="47"/>
        <v>0</v>
      </c>
      <c r="BK50" s="54" t="s">
        <v>517</v>
      </c>
      <c r="BL50" s="41">
        <v>725</v>
      </c>
    </row>
    <row r="51" spans="1:64" ht="30" customHeight="1">
      <c r="A51" s="110" t="s">
        <v>160</v>
      </c>
      <c r="B51" s="130"/>
      <c r="C51" s="130" t="s">
        <v>261</v>
      </c>
      <c r="D51" s="261" t="s">
        <v>374</v>
      </c>
      <c r="E51" s="262"/>
      <c r="F51" s="111" t="s">
        <v>461</v>
      </c>
      <c r="G51" s="112">
        <v>5</v>
      </c>
      <c r="H51" s="134">
        <v>0</v>
      </c>
      <c r="I51" s="137">
        <f t="shared" si="24"/>
        <v>0</v>
      </c>
      <c r="J51" s="137">
        <f t="shared" si="25"/>
        <v>0</v>
      </c>
      <c r="K51" s="112">
        <f t="shared" si="26"/>
        <v>0</v>
      </c>
      <c r="L51" s="112">
        <v>0.00126</v>
      </c>
      <c r="M51" s="112">
        <f t="shared" si="27"/>
        <v>0.0063</v>
      </c>
      <c r="N51" s="113" t="s">
        <v>585</v>
      </c>
      <c r="O51" s="15"/>
      <c r="Z51" s="41">
        <f t="shared" si="28"/>
        <v>0</v>
      </c>
      <c r="AB51" s="41">
        <f t="shared" si="29"/>
        <v>0</v>
      </c>
      <c r="AC51" s="41">
        <f t="shared" si="30"/>
        <v>0</v>
      </c>
      <c r="AD51" s="41">
        <f t="shared" si="31"/>
        <v>0</v>
      </c>
      <c r="AE51" s="41">
        <f t="shared" si="32"/>
        <v>0</v>
      </c>
      <c r="AF51" s="41">
        <f t="shared" si="33"/>
        <v>0</v>
      </c>
      <c r="AG51" s="41">
        <f t="shared" si="34"/>
        <v>0</v>
      </c>
      <c r="AH51" s="41">
        <f t="shared" si="35"/>
        <v>0</v>
      </c>
      <c r="AI51" s="59"/>
      <c r="AJ51" s="54">
        <f t="shared" si="36"/>
        <v>0</v>
      </c>
      <c r="AK51" s="54">
        <f t="shared" si="37"/>
        <v>0</v>
      </c>
      <c r="AL51" s="54">
        <f t="shared" si="38"/>
        <v>0</v>
      </c>
      <c r="AN51" s="41">
        <v>21</v>
      </c>
      <c r="AO51" s="41">
        <f>H51*0.918883333333333</f>
        <v>0</v>
      </c>
      <c r="AP51" s="41">
        <f>H51*(1-0.918883333333333)</f>
        <v>0</v>
      </c>
      <c r="AQ51" s="64" t="s">
        <v>137</v>
      </c>
      <c r="AV51" s="41">
        <f t="shared" si="39"/>
        <v>0</v>
      </c>
      <c r="AW51" s="41">
        <f t="shared" si="40"/>
        <v>0</v>
      </c>
      <c r="AX51" s="41">
        <f t="shared" si="41"/>
        <v>0</v>
      </c>
      <c r="AY51" s="66" t="s">
        <v>490</v>
      </c>
      <c r="AZ51" s="66" t="s">
        <v>507</v>
      </c>
      <c r="BA51" s="59" t="s">
        <v>512</v>
      </c>
      <c r="BC51" s="41">
        <f t="shared" si="42"/>
        <v>0</v>
      </c>
      <c r="BD51" s="41">
        <f t="shared" si="43"/>
        <v>0</v>
      </c>
      <c r="BE51" s="41">
        <v>0</v>
      </c>
      <c r="BF51" s="41">
        <f t="shared" si="44"/>
        <v>0.0063</v>
      </c>
      <c r="BH51" s="54">
        <f t="shared" si="45"/>
        <v>0</v>
      </c>
      <c r="BI51" s="54">
        <f t="shared" si="46"/>
        <v>0</v>
      </c>
      <c r="BJ51" s="54">
        <f t="shared" si="47"/>
        <v>0</v>
      </c>
      <c r="BK51" s="54" t="s">
        <v>517</v>
      </c>
      <c r="BL51" s="41">
        <v>725</v>
      </c>
    </row>
    <row r="52" spans="1:64" ht="30" customHeight="1">
      <c r="A52" s="110" t="s">
        <v>161</v>
      </c>
      <c r="B52" s="130"/>
      <c r="C52" s="130" t="s">
        <v>262</v>
      </c>
      <c r="D52" s="261" t="s">
        <v>375</v>
      </c>
      <c r="E52" s="262"/>
      <c r="F52" s="111" t="s">
        <v>460</v>
      </c>
      <c r="G52" s="112">
        <v>1</v>
      </c>
      <c r="H52" s="134">
        <v>0</v>
      </c>
      <c r="I52" s="137">
        <f t="shared" si="24"/>
        <v>0</v>
      </c>
      <c r="J52" s="137">
        <f t="shared" si="25"/>
        <v>0</v>
      </c>
      <c r="K52" s="112">
        <f t="shared" si="26"/>
        <v>0</v>
      </c>
      <c r="L52" s="112">
        <v>0</v>
      </c>
      <c r="M52" s="112">
        <f t="shared" si="27"/>
        <v>0</v>
      </c>
      <c r="N52" s="113" t="s">
        <v>585</v>
      </c>
      <c r="O52" s="15"/>
      <c r="Z52" s="41">
        <f t="shared" si="28"/>
        <v>0</v>
      </c>
      <c r="AB52" s="41">
        <f t="shared" si="29"/>
        <v>0</v>
      </c>
      <c r="AC52" s="41">
        <f t="shared" si="30"/>
        <v>0</v>
      </c>
      <c r="AD52" s="41">
        <f t="shared" si="31"/>
        <v>0</v>
      </c>
      <c r="AE52" s="41">
        <f t="shared" si="32"/>
        <v>0</v>
      </c>
      <c r="AF52" s="41">
        <f t="shared" si="33"/>
        <v>0</v>
      </c>
      <c r="AG52" s="41">
        <f t="shared" si="34"/>
        <v>0</v>
      </c>
      <c r="AH52" s="41">
        <f t="shared" si="35"/>
        <v>0</v>
      </c>
      <c r="AI52" s="59"/>
      <c r="AJ52" s="54">
        <f t="shared" si="36"/>
        <v>0</v>
      </c>
      <c r="AK52" s="54">
        <f t="shared" si="37"/>
        <v>0</v>
      </c>
      <c r="AL52" s="54">
        <f t="shared" si="38"/>
        <v>0</v>
      </c>
      <c r="AN52" s="41">
        <v>21</v>
      </c>
      <c r="AO52" s="41">
        <f>H52*0.764705882352941</f>
        <v>0</v>
      </c>
      <c r="AP52" s="41">
        <f>H52*(1-0.764705882352941)</f>
        <v>0</v>
      </c>
      <c r="AQ52" s="64" t="s">
        <v>137</v>
      </c>
      <c r="AV52" s="41">
        <f t="shared" si="39"/>
        <v>0</v>
      </c>
      <c r="AW52" s="41">
        <f t="shared" si="40"/>
        <v>0</v>
      </c>
      <c r="AX52" s="41">
        <f t="shared" si="41"/>
        <v>0</v>
      </c>
      <c r="AY52" s="66" t="s">
        <v>490</v>
      </c>
      <c r="AZ52" s="66" t="s">
        <v>507</v>
      </c>
      <c r="BA52" s="59" t="s">
        <v>512</v>
      </c>
      <c r="BC52" s="41">
        <f t="shared" si="42"/>
        <v>0</v>
      </c>
      <c r="BD52" s="41">
        <f t="shared" si="43"/>
        <v>0</v>
      </c>
      <c r="BE52" s="41">
        <v>0</v>
      </c>
      <c r="BF52" s="41">
        <f t="shared" si="44"/>
        <v>0</v>
      </c>
      <c r="BH52" s="54">
        <f t="shared" si="45"/>
        <v>0</v>
      </c>
      <c r="BI52" s="54">
        <f t="shared" si="46"/>
        <v>0</v>
      </c>
      <c r="BJ52" s="54">
        <f t="shared" si="47"/>
        <v>0</v>
      </c>
      <c r="BK52" s="54" t="s">
        <v>517</v>
      </c>
      <c r="BL52" s="41">
        <v>725</v>
      </c>
    </row>
    <row r="53" spans="1:47" ht="30" customHeight="1">
      <c r="A53" s="114"/>
      <c r="B53" s="131"/>
      <c r="C53" s="131" t="s">
        <v>83</v>
      </c>
      <c r="D53" s="263" t="s">
        <v>107</v>
      </c>
      <c r="E53" s="264"/>
      <c r="F53" s="116" t="s">
        <v>71</v>
      </c>
      <c r="G53" s="116" t="s">
        <v>71</v>
      </c>
      <c r="H53" s="116" t="s">
        <v>71</v>
      </c>
      <c r="I53" s="138" t="s">
        <v>71</v>
      </c>
      <c r="J53" s="138" t="s">
        <v>71</v>
      </c>
      <c r="K53" s="117">
        <f>SUM(K54:K55)</f>
        <v>0</v>
      </c>
      <c r="L53" s="118"/>
      <c r="M53" s="117">
        <f>SUM(M54:M55)</f>
        <v>0.27966</v>
      </c>
      <c r="N53" s="119"/>
      <c r="O53" s="15"/>
      <c r="AI53" s="59"/>
      <c r="AS53" s="69">
        <f>SUM(AJ54:AJ55)</f>
        <v>0</v>
      </c>
      <c r="AT53" s="69">
        <f>SUM(AK54:AK55)</f>
        <v>0</v>
      </c>
      <c r="AU53" s="69">
        <f>SUM(AL54:AL55)</f>
        <v>0</v>
      </c>
    </row>
    <row r="54" spans="1:64" ht="30" customHeight="1">
      <c r="A54" s="110" t="s">
        <v>162</v>
      </c>
      <c r="B54" s="130"/>
      <c r="C54" s="130" t="s">
        <v>263</v>
      </c>
      <c r="D54" s="261" t="s">
        <v>376</v>
      </c>
      <c r="E54" s="262"/>
      <c r="F54" s="111" t="s">
        <v>457</v>
      </c>
      <c r="G54" s="112">
        <v>6</v>
      </c>
      <c r="H54" s="134">
        <v>0</v>
      </c>
      <c r="I54" s="137">
        <f>G54*AO54</f>
        <v>0</v>
      </c>
      <c r="J54" s="137">
        <f>G54*AP54</f>
        <v>0</v>
      </c>
      <c r="K54" s="112">
        <f>G54*H54</f>
        <v>0</v>
      </c>
      <c r="L54" s="112">
        <v>0.04661</v>
      </c>
      <c r="M54" s="112">
        <f>G54*L54</f>
        <v>0.27966</v>
      </c>
      <c r="N54" s="113" t="s">
        <v>585</v>
      </c>
      <c r="O54" s="15"/>
      <c r="Z54" s="41">
        <f>IF(AQ54="5",BJ54,0)</f>
        <v>0</v>
      </c>
      <c r="AB54" s="41">
        <f>IF(AQ54="1",BH54,0)</f>
        <v>0</v>
      </c>
      <c r="AC54" s="41">
        <f>IF(AQ54="1",BI54,0)</f>
        <v>0</v>
      </c>
      <c r="AD54" s="41">
        <f>IF(AQ54="7",BH54,0)</f>
        <v>0</v>
      </c>
      <c r="AE54" s="41">
        <f>IF(AQ54="7",BI54,0)</f>
        <v>0</v>
      </c>
      <c r="AF54" s="41">
        <f>IF(AQ54="2",BH54,0)</f>
        <v>0</v>
      </c>
      <c r="AG54" s="41">
        <f>IF(AQ54="2",BI54,0)</f>
        <v>0</v>
      </c>
      <c r="AH54" s="41">
        <f>IF(AQ54="0",BJ54,0)</f>
        <v>0</v>
      </c>
      <c r="AI54" s="59"/>
      <c r="AJ54" s="54">
        <f>IF(AN54=0,K54,0)</f>
        <v>0</v>
      </c>
      <c r="AK54" s="54">
        <f>IF(AN54=15,K54,0)</f>
        <v>0</v>
      </c>
      <c r="AL54" s="54">
        <f>IF(AN54=21,K54,0)</f>
        <v>0</v>
      </c>
      <c r="AN54" s="41">
        <v>21</v>
      </c>
      <c r="AO54" s="41">
        <f>H54*0</f>
        <v>0</v>
      </c>
      <c r="AP54" s="41">
        <f>H54*(1-0)</f>
        <v>0</v>
      </c>
      <c r="AQ54" s="64" t="s">
        <v>137</v>
      </c>
      <c r="AV54" s="41">
        <f>AW54+AX54</f>
        <v>0</v>
      </c>
      <c r="AW54" s="41">
        <f>G54*AO54</f>
        <v>0</v>
      </c>
      <c r="AX54" s="41">
        <f>G54*AP54</f>
        <v>0</v>
      </c>
      <c r="AY54" s="66" t="s">
        <v>491</v>
      </c>
      <c r="AZ54" s="66" t="s">
        <v>507</v>
      </c>
      <c r="BA54" s="59" t="s">
        <v>512</v>
      </c>
      <c r="BC54" s="41">
        <f>AW54+AX54</f>
        <v>0</v>
      </c>
      <c r="BD54" s="41">
        <f>H54/(100-BE54)*100</f>
        <v>0</v>
      </c>
      <c r="BE54" s="41">
        <v>0</v>
      </c>
      <c r="BF54" s="41">
        <f>M54</f>
        <v>0.27966</v>
      </c>
      <c r="BH54" s="54">
        <f>G54*AO54</f>
        <v>0</v>
      </c>
      <c r="BI54" s="54">
        <f>G54*AP54</f>
        <v>0</v>
      </c>
      <c r="BJ54" s="54">
        <f>G54*H54</f>
        <v>0</v>
      </c>
      <c r="BK54" s="54" t="s">
        <v>517</v>
      </c>
      <c r="BL54" s="41">
        <v>728</v>
      </c>
    </row>
    <row r="55" spans="1:64" ht="30" customHeight="1">
      <c r="A55" s="110" t="s">
        <v>163</v>
      </c>
      <c r="B55" s="130"/>
      <c r="C55" s="130" t="s">
        <v>264</v>
      </c>
      <c r="D55" s="261" t="s">
        <v>377</v>
      </c>
      <c r="E55" s="262"/>
      <c r="F55" s="111" t="s">
        <v>458</v>
      </c>
      <c r="G55" s="112">
        <v>1</v>
      </c>
      <c r="H55" s="134">
        <v>0</v>
      </c>
      <c r="I55" s="137">
        <f>G55*AO55</f>
        <v>0</v>
      </c>
      <c r="J55" s="137">
        <f>G55*AP55</f>
        <v>0</v>
      </c>
      <c r="K55" s="112">
        <f>G55*H55</f>
        <v>0</v>
      </c>
      <c r="L55" s="112">
        <v>0</v>
      </c>
      <c r="M55" s="112">
        <f>G55*L55</f>
        <v>0</v>
      </c>
      <c r="N55" s="113" t="s">
        <v>585</v>
      </c>
      <c r="O55" s="15"/>
      <c r="Z55" s="41">
        <f>IF(AQ55="5",BJ55,0)</f>
        <v>0</v>
      </c>
      <c r="AB55" s="41">
        <f>IF(AQ55="1",BH55,0)</f>
        <v>0</v>
      </c>
      <c r="AC55" s="41">
        <f>IF(AQ55="1",BI55,0)</f>
        <v>0</v>
      </c>
      <c r="AD55" s="41">
        <f>IF(AQ55="7",BH55,0)</f>
        <v>0</v>
      </c>
      <c r="AE55" s="41">
        <f>IF(AQ55="7",BI55,0)</f>
        <v>0</v>
      </c>
      <c r="AF55" s="41">
        <f>IF(AQ55="2",BH55,0)</f>
        <v>0</v>
      </c>
      <c r="AG55" s="41">
        <f>IF(AQ55="2",BI55,0)</f>
        <v>0</v>
      </c>
      <c r="AH55" s="41">
        <f>IF(AQ55="0",BJ55,0)</f>
        <v>0</v>
      </c>
      <c r="AI55" s="59"/>
      <c r="AJ55" s="54">
        <f>IF(AN55=0,K55,0)</f>
        <v>0</v>
      </c>
      <c r="AK55" s="54">
        <f>IF(AN55=15,K55,0)</f>
        <v>0</v>
      </c>
      <c r="AL55" s="54">
        <f>IF(AN55=21,K55,0)</f>
        <v>0</v>
      </c>
      <c r="AN55" s="41">
        <v>21</v>
      </c>
      <c r="AO55" s="41">
        <f>H55*0.611932687404386</f>
        <v>0</v>
      </c>
      <c r="AP55" s="41">
        <f>H55*(1-0.611932687404386)</f>
        <v>0</v>
      </c>
      <c r="AQ55" s="64" t="s">
        <v>137</v>
      </c>
      <c r="AV55" s="41">
        <f>AW55+AX55</f>
        <v>0</v>
      </c>
      <c r="AW55" s="41">
        <f>G55*AO55</f>
        <v>0</v>
      </c>
      <c r="AX55" s="41">
        <f>G55*AP55</f>
        <v>0</v>
      </c>
      <c r="AY55" s="66" t="s">
        <v>491</v>
      </c>
      <c r="AZ55" s="66" t="s">
        <v>507</v>
      </c>
      <c r="BA55" s="59" t="s">
        <v>512</v>
      </c>
      <c r="BC55" s="41">
        <f>AW55+AX55</f>
        <v>0</v>
      </c>
      <c r="BD55" s="41">
        <f>H55/(100-BE55)*100</f>
        <v>0</v>
      </c>
      <c r="BE55" s="41">
        <v>0</v>
      </c>
      <c r="BF55" s="41">
        <f>M55</f>
        <v>0</v>
      </c>
      <c r="BH55" s="54">
        <f>G55*AO55</f>
        <v>0</v>
      </c>
      <c r="BI55" s="54">
        <f>G55*AP55</f>
        <v>0</v>
      </c>
      <c r="BJ55" s="54">
        <f>G55*H55</f>
        <v>0</v>
      </c>
      <c r="BK55" s="54" t="s">
        <v>517</v>
      </c>
      <c r="BL55" s="41">
        <v>728</v>
      </c>
    </row>
    <row r="56" spans="1:47" ht="30" customHeight="1">
      <c r="A56" s="114"/>
      <c r="B56" s="131"/>
      <c r="C56" s="131" t="s">
        <v>84</v>
      </c>
      <c r="D56" s="263" t="s">
        <v>108</v>
      </c>
      <c r="E56" s="264"/>
      <c r="F56" s="116" t="s">
        <v>71</v>
      </c>
      <c r="G56" s="116" t="s">
        <v>71</v>
      </c>
      <c r="H56" s="116" t="s">
        <v>71</v>
      </c>
      <c r="I56" s="138" t="s">
        <v>71</v>
      </c>
      <c r="J56" s="138" t="s">
        <v>71</v>
      </c>
      <c r="K56" s="117">
        <f>SUM(K57:K65)</f>
        <v>0</v>
      </c>
      <c r="L56" s="118"/>
      <c r="M56" s="117">
        <f>SUM(M57:M65)</f>
        <v>0.7530120000000001</v>
      </c>
      <c r="N56" s="119"/>
      <c r="O56" s="15"/>
      <c r="AI56" s="59"/>
      <c r="AS56" s="69">
        <f>SUM(AJ57:AJ65)</f>
        <v>0</v>
      </c>
      <c r="AT56" s="69">
        <f>SUM(AK57:AK65)</f>
        <v>0</v>
      </c>
      <c r="AU56" s="69">
        <f>SUM(AL57:AL65)</f>
        <v>0</v>
      </c>
    </row>
    <row r="57" spans="1:64" ht="30" customHeight="1">
      <c r="A57" s="110" t="s">
        <v>74</v>
      </c>
      <c r="B57" s="130"/>
      <c r="C57" s="130" t="s">
        <v>265</v>
      </c>
      <c r="D57" s="261" t="s">
        <v>378</v>
      </c>
      <c r="E57" s="262"/>
      <c r="F57" s="111" t="s">
        <v>458</v>
      </c>
      <c r="G57" s="112">
        <v>5</v>
      </c>
      <c r="H57" s="134">
        <v>0</v>
      </c>
      <c r="I57" s="137">
        <f aca="true" t="shared" si="48" ref="I57:I65">G57*AO57</f>
        <v>0</v>
      </c>
      <c r="J57" s="137">
        <f aca="true" t="shared" si="49" ref="J57:J65">G57*AP57</f>
        <v>0</v>
      </c>
      <c r="K57" s="112">
        <f aca="true" t="shared" si="50" ref="K57:K65">G57*H57</f>
        <v>0</v>
      </c>
      <c r="L57" s="112">
        <v>0.0003</v>
      </c>
      <c r="M57" s="112">
        <f aca="true" t="shared" si="51" ref="M57:M65">G57*L57</f>
        <v>0.0014999999999999998</v>
      </c>
      <c r="N57" s="113" t="s">
        <v>585</v>
      </c>
      <c r="O57" s="15"/>
      <c r="Z57" s="41">
        <f aca="true" t="shared" si="52" ref="Z57:Z65">IF(AQ57="5",BJ57,0)</f>
        <v>0</v>
      </c>
      <c r="AB57" s="41">
        <f aca="true" t="shared" si="53" ref="AB57:AB65">IF(AQ57="1",BH57,0)</f>
        <v>0</v>
      </c>
      <c r="AC57" s="41">
        <f aca="true" t="shared" si="54" ref="AC57:AC65">IF(AQ57="1",BI57,0)</f>
        <v>0</v>
      </c>
      <c r="AD57" s="41">
        <f aca="true" t="shared" si="55" ref="AD57:AD65">IF(AQ57="7",BH57,0)</f>
        <v>0</v>
      </c>
      <c r="AE57" s="41">
        <f aca="true" t="shared" si="56" ref="AE57:AE65">IF(AQ57="7",BI57,0)</f>
        <v>0</v>
      </c>
      <c r="AF57" s="41">
        <f aca="true" t="shared" si="57" ref="AF57:AF65">IF(AQ57="2",BH57,0)</f>
        <v>0</v>
      </c>
      <c r="AG57" s="41">
        <f aca="true" t="shared" si="58" ref="AG57:AG65">IF(AQ57="2",BI57,0)</f>
        <v>0</v>
      </c>
      <c r="AH57" s="41">
        <f aca="true" t="shared" si="59" ref="AH57:AH65">IF(AQ57="0",BJ57,0)</f>
        <v>0</v>
      </c>
      <c r="AI57" s="59"/>
      <c r="AJ57" s="54">
        <f aca="true" t="shared" si="60" ref="AJ57:AJ65">IF(AN57=0,K57,0)</f>
        <v>0</v>
      </c>
      <c r="AK57" s="54">
        <f aca="true" t="shared" si="61" ref="AK57:AK65">IF(AN57=15,K57,0)</f>
        <v>0</v>
      </c>
      <c r="AL57" s="54">
        <f aca="true" t="shared" si="62" ref="AL57:AL65">IF(AN57=21,K57,0)</f>
        <v>0</v>
      </c>
      <c r="AN57" s="41">
        <v>21</v>
      </c>
      <c r="AO57" s="41">
        <f>H57*0.0437723577235772</f>
        <v>0</v>
      </c>
      <c r="AP57" s="41">
        <f>H57*(1-0.0437723577235772)</f>
        <v>0</v>
      </c>
      <c r="AQ57" s="64" t="s">
        <v>137</v>
      </c>
      <c r="AV57" s="41">
        <f aca="true" t="shared" si="63" ref="AV57:AV65">AW57+AX57</f>
        <v>0</v>
      </c>
      <c r="AW57" s="41">
        <f aca="true" t="shared" si="64" ref="AW57:AW65">G57*AO57</f>
        <v>0</v>
      </c>
      <c r="AX57" s="41">
        <f aca="true" t="shared" si="65" ref="AX57:AX65">G57*AP57</f>
        <v>0</v>
      </c>
      <c r="AY57" s="66" t="s">
        <v>492</v>
      </c>
      <c r="AZ57" s="66" t="s">
        <v>508</v>
      </c>
      <c r="BA57" s="59" t="s">
        <v>512</v>
      </c>
      <c r="BC57" s="41">
        <f aca="true" t="shared" si="66" ref="BC57:BC65">AW57+AX57</f>
        <v>0</v>
      </c>
      <c r="BD57" s="41">
        <f aca="true" t="shared" si="67" ref="BD57:BD65">H57/(100-BE57)*100</f>
        <v>0</v>
      </c>
      <c r="BE57" s="41">
        <v>0</v>
      </c>
      <c r="BF57" s="41">
        <f aca="true" t="shared" si="68" ref="BF57:BF65">M57</f>
        <v>0.0014999999999999998</v>
      </c>
      <c r="BH57" s="54">
        <f aca="true" t="shared" si="69" ref="BH57:BH65">G57*AO57</f>
        <v>0</v>
      </c>
      <c r="BI57" s="54">
        <f aca="true" t="shared" si="70" ref="BI57:BI65">G57*AP57</f>
        <v>0</v>
      </c>
      <c r="BJ57" s="54">
        <f aca="true" t="shared" si="71" ref="BJ57:BJ65">G57*H57</f>
        <v>0</v>
      </c>
      <c r="BK57" s="54" t="s">
        <v>517</v>
      </c>
      <c r="BL57" s="41">
        <v>766</v>
      </c>
    </row>
    <row r="58" spans="1:64" ht="30" customHeight="1">
      <c r="A58" s="110" t="s">
        <v>164</v>
      </c>
      <c r="B58" s="130"/>
      <c r="C58" s="130" t="s">
        <v>266</v>
      </c>
      <c r="D58" s="261" t="s">
        <v>379</v>
      </c>
      <c r="E58" s="262"/>
      <c r="F58" s="111" t="s">
        <v>456</v>
      </c>
      <c r="G58" s="112">
        <v>34.4</v>
      </c>
      <c r="H58" s="134">
        <v>0</v>
      </c>
      <c r="I58" s="137">
        <f t="shared" si="48"/>
        <v>0</v>
      </c>
      <c r="J58" s="137">
        <f t="shared" si="49"/>
        <v>0</v>
      </c>
      <c r="K58" s="112">
        <f t="shared" si="50"/>
        <v>0</v>
      </c>
      <c r="L58" s="112">
        <v>0.01098</v>
      </c>
      <c r="M58" s="112">
        <f t="shared" si="51"/>
        <v>0.377712</v>
      </c>
      <c r="N58" s="113" t="s">
        <v>585</v>
      </c>
      <c r="O58" s="15"/>
      <c r="Z58" s="41">
        <f t="shared" si="52"/>
        <v>0</v>
      </c>
      <c r="AB58" s="41">
        <f t="shared" si="53"/>
        <v>0</v>
      </c>
      <c r="AC58" s="41">
        <f t="shared" si="54"/>
        <v>0</v>
      </c>
      <c r="AD58" s="41">
        <f t="shared" si="55"/>
        <v>0</v>
      </c>
      <c r="AE58" s="41">
        <f t="shared" si="56"/>
        <v>0</v>
      </c>
      <c r="AF58" s="41">
        <f t="shared" si="57"/>
        <v>0</v>
      </c>
      <c r="AG58" s="41">
        <f t="shared" si="58"/>
        <v>0</v>
      </c>
      <c r="AH58" s="41">
        <f t="shared" si="59"/>
        <v>0</v>
      </c>
      <c r="AI58" s="59"/>
      <c r="AJ58" s="54">
        <f t="shared" si="60"/>
        <v>0</v>
      </c>
      <c r="AK58" s="54">
        <f t="shared" si="61"/>
        <v>0</v>
      </c>
      <c r="AL58" s="54">
        <f t="shared" si="62"/>
        <v>0</v>
      </c>
      <c r="AN58" s="41">
        <v>21</v>
      </c>
      <c r="AO58" s="41">
        <f>H58*0</f>
        <v>0</v>
      </c>
      <c r="AP58" s="41">
        <f>H58*(1-0)</f>
        <v>0</v>
      </c>
      <c r="AQ58" s="64" t="s">
        <v>137</v>
      </c>
      <c r="AV58" s="41">
        <f t="shared" si="63"/>
        <v>0</v>
      </c>
      <c r="AW58" s="41">
        <f t="shared" si="64"/>
        <v>0</v>
      </c>
      <c r="AX58" s="41">
        <f t="shared" si="65"/>
        <v>0</v>
      </c>
      <c r="AY58" s="66" t="s">
        <v>492</v>
      </c>
      <c r="AZ58" s="66" t="s">
        <v>508</v>
      </c>
      <c r="BA58" s="59" t="s">
        <v>512</v>
      </c>
      <c r="BC58" s="41">
        <f t="shared" si="66"/>
        <v>0</v>
      </c>
      <c r="BD58" s="41">
        <f t="shared" si="67"/>
        <v>0</v>
      </c>
      <c r="BE58" s="41">
        <v>0</v>
      </c>
      <c r="BF58" s="41">
        <f t="shared" si="68"/>
        <v>0.377712</v>
      </c>
      <c r="BH58" s="54">
        <f t="shared" si="69"/>
        <v>0</v>
      </c>
      <c r="BI58" s="54">
        <f t="shared" si="70"/>
        <v>0</v>
      </c>
      <c r="BJ58" s="54">
        <f t="shared" si="71"/>
        <v>0</v>
      </c>
      <c r="BK58" s="54" t="s">
        <v>517</v>
      </c>
      <c r="BL58" s="41">
        <v>766</v>
      </c>
    </row>
    <row r="59" spans="1:64" ht="30" customHeight="1">
      <c r="A59" s="110" t="s">
        <v>165</v>
      </c>
      <c r="B59" s="130"/>
      <c r="C59" s="130" t="s">
        <v>267</v>
      </c>
      <c r="D59" s="261" t="s">
        <v>380</v>
      </c>
      <c r="E59" s="262"/>
      <c r="F59" s="111" t="s">
        <v>456</v>
      </c>
      <c r="G59" s="112">
        <v>34.4</v>
      </c>
      <c r="H59" s="134">
        <v>0</v>
      </c>
      <c r="I59" s="137">
        <f t="shared" si="48"/>
        <v>0</v>
      </c>
      <c r="J59" s="137">
        <f t="shared" si="49"/>
        <v>0</v>
      </c>
      <c r="K59" s="112">
        <f t="shared" si="50"/>
        <v>0</v>
      </c>
      <c r="L59" s="112">
        <v>0.008</v>
      </c>
      <c r="M59" s="112">
        <f t="shared" si="51"/>
        <v>0.2752</v>
      </c>
      <c r="N59" s="113" t="s">
        <v>585</v>
      </c>
      <c r="O59" s="15"/>
      <c r="Z59" s="41">
        <f t="shared" si="52"/>
        <v>0</v>
      </c>
      <c r="AB59" s="41">
        <f t="shared" si="53"/>
        <v>0</v>
      </c>
      <c r="AC59" s="41">
        <f t="shared" si="54"/>
        <v>0</v>
      </c>
      <c r="AD59" s="41">
        <f t="shared" si="55"/>
        <v>0</v>
      </c>
      <c r="AE59" s="41">
        <f t="shared" si="56"/>
        <v>0</v>
      </c>
      <c r="AF59" s="41">
        <f t="shared" si="57"/>
        <v>0</v>
      </c>
      <c r="AG59" s="41">
        <f t="shared" si="58"/>
        <v>0</v>
      </c>
      <c r="AH59" s="41">
        <f t="shared" si="59"/>
        <v>0</v>
      </c>
      <c r="AI59" s="59"/>
      <c r="AJ59" s="54">
        <f t="shared" si="60"/>
        <v>0</v>
      </c>
      <c r="AK59" s="54">
        <f t="shared" si="61"/>
        <v>0</v>
      </c>
      <c r="AL59" s="54">
        <f t="shared" si="62"/>
        <v>0</v>
      </c>
      <c r="AN59" s="41">
        <v>21</v>
      </c>
      <c r="AO59" s="41">
        <f>H59*0</f>
        <v>0</v>
      </c>
      <c r="AP59" s="41">
        <f>H59*(1-0)</f>
        <v>0</v>
      </c>
      <c r="AQ59" s="64" t="s">
        <v>137</v>
      </c>
      <c r="AV59" s="41">
        <f t="shared" si="63"/>
        <v>0</v>
      </c>
      <c r="AW59" s="41">
        <f t="shared" si="64"/>
        <v>0</v>
      </c>
      <c r="AX59" s="41">
        <f t="shared" si="65"/>
        <v>0</v>
      </c>
      <c r="AY59" s="66" t="s">
        <v>492</v>
      </c>
      <c r="AZ59" s="66" t="s">
        <v>508</v>
      </c>
      <c r="BA59" s="59" t="s">
        <v>512</v>
      </c>
      <c r="BC59" s="41">
        <f t="shared" si="66"/>
        <v>0</v>
      </c>
      <c r="BD59" s="41">
        <f t="shared" si="67"/>
        <v>0</v>
      </c>
      <c r="BE59" s="41">
        <v>0</v>
      </c>
      <c r="BF59" s="41">
        <f t="shared" si="68"/>
        <v>0.2752</v>
      </c>
      <c r="BH59" s="54">
        <f t="shared" si="69"/>
        <v>0</v>
      </c>
      <c r="BI59" s="54">
        <f t="shared" si="70"/>
        <v>0</v>
      </c>
      <c r="BJ59" s="54">
        <f t="shared" si="71"/>
        <v>0</v>
      </c>
      <c r="BK59" s="54" t="s">
        <v>517</v>
      </c>
      <c r="BL59" s="41">
        <v>766</v>
      </c>
    </row>
    <row r="60" spans="1:64" ht="30" customHeight="1">
      <c r="A60" s="110" t="s">
        <v>166</v>
      </c>
      <c r="B60" s="130"/>
      <c r="C60" s="130" t="s">
        <v>268</v>
      </c>
      <c r="D60" s="261" t="s">
        <v>381</v>
      </c>
      <c r="E60" s="262"/>
      <c r="F60" s="111" t="s">
        <v>458</v>
      </c>
      <c r="G60" s="112">
        <v>2</v>
      </c>
      <c r="H60" s="134">
        <v>0</v>
      </c>
      <c r="I60" s="137">
        <f t="shared" si="48"/>
        <v>0</v>
      </c>
      <c r="J60" s="137">
        <f t="shared" si="49"/>
        <v>0</v>
      </c>
      <c r="K60" s="112">
        <f t="shared" si="50"/>
        <v>0</v>
      </c>
      <c r="L60" s="112">
        <v>0</v>
      </c>
      <c r="M60" s="112">
        <f t="shared" si="51"/>
        <v>0</v>
      </c>
      <c r="N60" s="113" t="s">
        <v>585</v>
      </c>
      <c r="O60" s="15"/>
      <c r="Z60" s="41">
        <f t="shared" si="52"/>
        <v>0</v>
      </c>
      <c r="AB60" s="41">
        <f t="shared" si="53"/>
        <v>0</v>
      </c>
      <c r="AC60" s="41">
        <f t="shared" si="54"/>
        <v>0</v>
      </c>
      <c r="AD60" s="41">
        <f t="shared" si="55"/>
        <v>0</v>
      </c>
      <c r="AE60" s="41">
        <f t="shared" si="56"/>
        <v>0</v>
      </c>
      <c r="AF60" s="41">
        <f t="shared" si="57"/>
        <v>0</v>
      </c>
      <c r="AG60" s="41">
        <f t="shared" si="58"/>
        <v>0</v>
      </c>
      <c r="AH60" s="41">
        <f t="shared" si="59"/>
        <v>0</v>
      </c>
      <c r="AI60" s="59"/>
      <c r="AJ60" s="54">
        <f t="shared" si="60"/>
        <v>0</v>
      </c>
      <c r="AK60" s="54">
        <f t="shared" si="61"/>
        <v>0</v>
      </c>
      <c r="AL60" s="54">
        <f t="shared" si="62"/>
        <v>0</v>
      </c>
      <c r="AN60" s="41">
        <v>21</v>
      </c>
      <c r="AO60" s="41">
        <f>H60*0</f>
        <v>0</v>
      </c>
      <c r="AP60" s="41">
        <f>H60*(1-0)</f>
        <v>0</v>
      </c>
      <c r="AQ60" s="64" t="s">
        <v>137</v>
      </c>
      <c r="AV60" s="41">
        <f t="shared" si="63"/>
        <v>0</v>
      </c>
      <c r="AW60" s="41">
        <f t="shared" si="64"/>
        <v>0</v>
      </c>
      <c r="AX60" s="41">
        <f t="shared" si="65"/>
        <v>0</v>
      </c>
      <c r="AY60" s="66" t="s">
        <v>492</v>
      </c>
      <c r="AZ60" s="66" t="s">
        <v>508</v>
      </c>
      <c r="BA60" s="59" t="s">
        <v>512</v>
      </c>
      <c r="BC60" s="41">
        <f t="shared" si="66"/>
        <v>0</v>
      </c>
      <c r="BD60" s="41">
        <f t="shared" si="67"/>
        <v>0</v>
      </c>
      <c r="BE60" s="41">
        <v>0</v>
      </c>
      <c r="BF60" s="41">
        <f t="shared" si="68"/>
        <v>0</v>
      </c>
      <c r="BH60" s="54">
        <f t="shared" si="69"/>
        <v>0</v>
      </c>
      <c r="BI60" s="54">
        <f t="shared" si="70"/>
        <v>0</v>
      </c>
      <c r="BJ60" s="54">
        <f t="shared" si="71"/>
        <v>0</v>
      </c>
      <c r="BK60" s="54" t="s">
        <v>517</v>
      </c>
      <c r="BL60" s="41">
        <v>766</v>
      </c>
    </row>
    <row r="61" spans="1:64" ht="30" customHeight="1">
      <c r="A61" s="110" t="s">
        <v>167</v>
      </c>
      <c r="B61" s="130"/>
      <c r="C61" s="130" t="s">
        <v>269</v>
      </c>
      <c r="D61" s="261" t="s">
        <v>382</v>
      </c>
      <c r="E61" s="262"/>
      <c r="F61" s="111" t="s">
        <v>458</v>
      </c>
      <c r="G61" s="112">
        <v>2</v>
      </c>
      <c r="H61" s="134">
        <v>0</v>
      </c>
      <c r="I61" s="137">
        <f t="shared" si="48"/>
        <v>0</v>
      </c>
      <c r="J61" s="137">
        <f t="shared" si="49"/>
        <v>0</v>
      </c>
      <c r="K61" s="112">
        <f t="shared" si="50"/>
        <v>0</v>
      </c>
      <c r="L61" s="112">
        <v>0</v>
      </c>
      <c r="M61" s="112">
        <f t="shared" si="51"/>
        <v>0</v>
      </c>
      <c r="N61" s="113" t="s">
        <v>585</v>
      </c>
      <c r="O61" s="15"/>
      <c r="Z61" s="41">
        <f t="shared" si="52"/>
        <v>0</v>
      </c>
      <c r="AB61" s="41">
        <f t="shared" si="53"/>
        <v>0</v>
      </c>
      <c r="AC61" s="41">
        <f t="shared" si="54"/>
        <v>0</v>
      </c>
      <c r="AD61" s="41">
        <f t="shared" si="55"/>
        <v>0</v>
      </c>
      <c r="AE61" s="41">
        <f t="shared" si="56"/>
        <v>0</v>
      </c>
      <c r="AF61" s="41">
        <f t="shared" si="57"/>
        <v>0</v>
      </c>
      <c r="AG61" s="41">
        <f t="shared" si="58"/>
        <v>0</v>
      </c>
      <c r="AH61" s="41">
        <f t="shared" si="59"/>
        <v>0</v>
      </c>
      <c r="AI61" s="59"/>
      <c r="AJ61" s="54">
        <f t="shared" si="60"/>
        <v>0</v>
      </c>
      <c r="AK61" s="54">
        <f t="shared" si="61"/>
        <v>0</v>
      </c>
      <c r="AL61" s="54">
        <f t="shared" si="62"/>
        <v>0</v>
      </c>
      <c r="AN61" s="41">
        <v>21</v>
      </c>
      <c r="AO61" s="41">
        <f>H61*0</f>
        <v>0</v>
      </c>
      <c r="AP61" s="41">
        <f>H61*(1-0)</f>
        <v>0</v>
      </c>
      <c r="AQ61" s="64" t="s">
        <v>137</v>
      </c>
      <c r="AV61" s="41">
        <f t="shared" si="63"/>
        <v>0</v>
      </c>
      <c r="AW61" s="41">
        <f t="shared" si="64"/>
        <v>0</v>
      </c>
      <c r="AX61" s="41">
        <f t="shared" si="65"/>
        <v>0</v>
      </c>
      <c r="AY61" s="66" t="s">
        <v>492</v>
      </c>
      <c r="AZ61" s="66" t="s">
        <v>508</v>
      </c>
      <c r="BA61" s="59" t="s">
        <v>512</v>
      </c>
      <c r="BC61" s="41">
        <f t="shared" si="66"/>
        <v>0</v>
      </c>
      <c r="BD61" s="41">
        <f t="shared" si="67"/>
        <v>0</v>
      </c>
      <c r="BE61" s="41">
        <v>0</v>
      </c>
      <c r="BF61" s="41">
        <f t="shared" si="68"/>
        <v>0</v>
      </c>
      <c r="BH61" s="54">
        <f t="shared" si="69"/>
        <v>0</v>
      </c>
      <c r="BI61" s="54">
        <f t="shared" si="70"/>
        <v>0</v>
      </c>
      <c r="BJ61" s="54">
        <f t="shared" si="71"/>
        <v>0</v>
      </c>
      <c r="BK61" s="54" t="s">
        <v>517</v>
      </c>
      <c r="BL61" s="41">
        <v>766</v>
      </c>
    </row>
    <row r="62" spans="1:64" ht="30" customHeight="1">
      <c r="A62" s="120" t="s">
        <v>168</v>
      </c>
      <c r="B62" s="132"/>
      <c r="C62" s="132" t="s">
        <v>270</v>
      </c>
      <c r="D62" s="265" t="s">
        <v>383</v>
      </c>
      <c r="E62" s="266"/>
      <c r="F62" s="121" t="s">
        <v>458</v>
      </c>
      <c r="G62" s="122">
        <v>2</v>
      </c>
      <c r="H62" s="135">
        <v>0</v>
      </c>
      <c r="I62" s="137">
        <f t="shared" si="48"/>
        <v>0</v>
      </c>
      <c r="J62" s="137">
        <f t="shared" si="49"/>
        <v>0</v>
      </c>
      <c r="K62" s="122">
        <f t="shared" si="50"/>
        <v>0</v>
      </c>
      <c r="L62" s="122">
        <v>0.0008</v>
      </c>
      <c r="M62" s="122">
        <f t="shared" si="51"/>
        <v>0.0016</v>
      </c>
      <c r="N62" s="113" t="s">
        <v>585</v>
      </c>
      <c r="O62" s="15"/>
      <c r="Z62" s="41">
        <f t="shared" si="52"/>
        <v>0</v>
      </c>
      <c r="AB62" s="41">
        <f t="shared" si="53"/>
        <v>0</v>
      </c>
      <c r="AC62" s="41">
        <f t="shared" si="54"/>
        <v>0</v>
      </c>
      <c r="AD62" s="41">
        <f t="shared" si="55"/>
        <v>0</v>
      </c>
      <c r="AE62" s="41">
        <f t="shared" si="56"/>
        <v>0</v>
      </c>
      <c r="AF62" s="41">
        <f t="shared" si="57"/>
        <v>0</v>
      </c>
      <c r="AG62" s="41">
        <f t="shared" si="58"/>
        <v>0</v>
      </c>
      <c r="AH62" s="41">
        <f t="shared" si="59"/>
        <v>0</v>
      </c>
      <c r="AI62" s="59"/>
      <c r="AJ62" s="55">
        <f t="shared" si="60"/>
        <v>0</v>
      </c>
      <c r="AK62" s="55">
        <f t="shared" si="61"/>
        <v>0</v>
      </c>
      <c r="AL62" s="55">
        <f t="shared" si="62"/>
        <v>0</v>
      </c>
      <c r="AN62" s="41">
        <v>21</v>
      </c>
      <c r="AO62" s="41">
        <f>H62*1</f>
        <v>0</v>
      </c>
      <c r="AP62" s="41">
        <f>H62*(1-1)</f>
        <v>0</v>
      </c>
      <c r="AQ62" s="65" t="s">
        <v>137</v>
      </c>
      <c r="AV62" s="41">
        <f t="shared" si="63"/>
        <v>0</v>
      </c>
      <c r="AW62" s="41">
        <f t="shared" si="64"/>
        <v>0</v>
      </c>
      <c r="AX62" s="41">
        <f t="shared" si="65"/>
        <v>0</v>
      </c>
      <c r="AY62" s="66" t="s">
        <v>492</v>
      </c>
      <c r="AZ62" s="66" t="s">
        <v>508</v>
      </c>
      <c r="BA62" s="59" t="s">
        <v>512</v>
      </c>
      <c r="BC62" s="41">
        <f t="shared" si="66"/>
        <v>0</v>
      </c>
      <c r="BD62" s="41">
        <f t="shared" si="67"/>
        <v>0</v>
      </c>
      <c r="BE62" s="41">
        <v>0</v>
      </c>
      <c r="BF62" s="41">
        <f t="shared" si="68"/>
        <v>0.0016</v>
      </c>
      <c r="BH62" s="55">
        <f t="shared" si="69"/>
        <v>0</v>
      </c>
      <c r="BI62" s="55">
        <f t="shared" si="70"/>
        <v>0</v>
      </c>
      <c r="BJ62" s="55">
        <f t="shared" si="71"/>
        <v>0</v>
      </c>
      <c r="BK62" s="55" t="s">
        <v>518</v>
      </c>
      <c r="BL62" s="41">
        <v>766</v>
      </c>
    </row>
    <row r="63" spans="1:64" ht="30" customHeight="1">
      <c r="A63" s="120" t="s">
        <v>169</v>
      </c>
      <c r="B63" s="132"/>
      <c r="C63" s="132" t="s">
        <v>271</v>
      </c>
      <c r="D63" s="265" t="s">
        <v>384</v>
      </c>
      <c r="E63" s="266"/>
      <c r="F63" s="121" t="s">
        <v>458</v>
      </c>
      <c r="G63" s="122">
        <v>1</v>
      </c>
      <c r="H63" s="135">
        <v>0</v>
      </c>
      <c r="I63" s="137">
        <f t="shared" si="48"/>
        <v>0</v>
      </c>
      <c r="J63" s="137">
        <f t="shared" si="49"/>
        <v>0</v>
      </c>
      <c r="K63" s="122">
        <f t="shared" si="50"/>
        <v>0</v>
      </c>
      <c r="L63" s="122">
        <v>0.02</v>
      </c>
      <c r="M63" s="122">
        <f t="shared" si="51"/>
        <v>0.02</v>
      </c>
      <c r="N63" s="113" t="s">
        <v>585</v>
      </c>
      <c r="O63" s="15"/>
      <c r="Z63" s="41">
        <f t="shared" si="52"/>
        <v>0</v>
      </c>
      <c r="AB63" s="41">
        <f t="shared" si="53"/>
        <v>0</v>
      </c>
      <c r="AC63" s="41">
        <f t="shared" si="54"/>
        <v>0</v>
      </c>
      <c r="AD63" s="41">
        <f t="shared" si="55"/>
        <v>0</v>
      </c>
      <c r="AE63" s="41">
        <f t="shared" si="56"/>
        <v>0</v>
      </c>
      <c r="AF63" s="41">
        <f t="shared" si="57"/>
        <v>0</v>
      </c>
      <c r="AG63" s="41">
        <f t="shared" si="58"/>
        <v>0</v>
      </c>
      <c r="AH63" s="41">
        <f t="shared" si="59"/>
        <v>0</v>
      </c>
      <c r="AI63" s="59"/>
      <c r="AJ63" s="55">
        <f t="shared" si="60"/>
        <v>0</v>
      </c>
      <c r="AK63" s="55">
        <f t="shared" si="61"/>
        <v>0</v>
      </c>
      <c r="AL63" s="55">
        <f t="shared" si="62"/>
        <v>0</v>
      </c>
      <c r="AN63" s="41">
        <v>21</v>
      </c>
      <c r="AO63" s="41">
        <f>H63*1</f>
        <v>0</v>
      </c>
      <c r="AP63" s="41">
        <f>H63*(1-1)</f>
        <v>0</v>
      </c>
      <c r="AQ63" s="65" t="s">
        <v>137</v>
      </c>
      <c r="AV63" s="41">
        <f t="shared" si="63"/>
        <v>0</v>
      </c>
      <c r="AW63" s="41">
        <f t="shared" si="64"/>
        <v>0</v>
      </c>
      <c r="AX63" s="41">
        <f t="shared" si="65"/>
        <v>0</v>
      </c>
      <c r="AY63" s="66" t="s">
        <v>492</v>
      </c>
      <c r="AZ63" s="66" t="s">
        <v>508</v>
      </c>
      <c r="BA63" s="59" t="s">
        <v>512</v>
      </c>
      <c r="BC63" s="41">
        <f t="shared" si="66"/>
        <v>0</v>
      </c>
      <c r="BD63" s="41">
        <f t="shared" si="67"/>
        <v>0</v>
      </c>
      <c r="BE63" s="41">
        <v>0</v>
      </c>
      <c r="BF63" s="41">
        <f t="shared" si="68"/>
        <v>0.02</v>
      </c>
      <c r="BH63" s="55">
        <f t="shared" si="69"/>
        <v>0</v>
      </c>
      <c r="BI63" s="55">
        <f t="shared" si="70"/>
        <v>0</v>
      </c>
      <c r="BJ63" s="55">
        <f t="shared" si="71"/>
        <v>0</v>
      </c>
      <c r="BK63" s="55" t="s">
        <v>518</v>
      </c>
      <c r="BL63" s="41">
        <v>766</v>
      </c>
    </row>
    <row r="64" spans="1:64" ht="30" customHeight="1">
      <c r="A64" s="120" t="s">
        <v>170</v>
      </c>
      <c r="B64" s="132"/>
      <c r="C64" s="132" t="s">
        <v>272</v>
      </c>
      <c r="D64" s="265" t="s">
        <v>385</v>
      </c>
      <c r="E64" s="266"/>
      <c r="F64" s="121" t="s">
        <v>460</v>
      </c>
      <c r="G64" s="122">
        <v>1</v>
      </c>
      <c r="H64" s="135">
        <v>0</v>
      </c>
      <c r="I64" s="137">
        <f t="shared" si="48"/>
        <v>0</v>
      </c>
      <c r="J64" s="137">
        <f t="shared" si="49"/>
        <v>0</v>
      </c>
      <c r="K64" s="122">
        <f t="shared" si="50"/>
        <v>0</v>
      </c>
      <c r="L64" s="122">
        <v>0.04</v>
      </c>
      <c r="M64" s="122">
        <f t="shared" si="51"/>
        <v>0.04</v>
      </c>
      <c r="N64" s="113" t="s">
        <v>585</v>
      </c>
      <c r="O64" s="15"/>
      <c r="Z64" s="41">
        <f t="shared" si="52"/>
        <v>0</v>
      </c>
      <c r="AB64" s="41">
        <f t="shared" si="53"/>
        <v>0</v>
      </c>
      <c r="AC64" s="41">
        <f t="shared" si="54"/>
        <v>0</v>
      </c>
      <c r="AD64" s="41">
        <f t="shared" si="55"/>
        <v>0</v>
      </c>
      <c r="AE64" s="41">
        <f t="shared" si="56"/>
        <v>0</v>
      </c>
      <c r="AF64" s="41">
        <f t="shared" si="57"/>
        <v>0</v>
      </c>
      <c r="AG64" s="41">
        <f t="shared" si="58"/>
        <v>0</v>
      </c>
      <c r="AH64" s="41">
        <f t="shared" si="59"/>
        <v>0</v>
      </c>
      <c r="AI64" s="59"/>
      <c r="AJ64" s="55">
        <f t="shared" si="60"/>
        <v>0</v>
      </c>
      <c r="AK64" s="55">
        <f t="shared" si="61"/>
        <v>0</v>
      </c>
      <c r="AL64" s="55">
        <f t="shared" si="62"/>
        <v>0</v>
      </c>
      <c r="AN64" s="41">
        <v>21</v>
      </c>
      <c r="AO64" s="41">
        <f>H64*1</f>
        <v>0</v>
      </c>
      <c r="AP64" s="41">
        <f>H64*(1-1)</f>
        <v>0</v>
      </c>
      <c r="AQ64" s="65" t="s">
        <v>137</v>
      </c>
      <c r="AV64" s="41">
        <f t="shared" si="63"/>
        <v>0</v>
      </c>
      <c r="AW64" s="41">
        <f t="shared" si="64"/>
        <v>0</v>
      </c>
      <c r="AX64" s="41">
        <f t="shared" si="65"/>
        <v>0</v>
      </c>
      <c r="AY64" s="66" t="s">
        <v>492</v>
      </c>
      <c r="AZ64" s="66" t="s">
        <v>508</v>
      </c>
      <c r="BA64" s="59" t="s">
        <v>512</v>
      </c>
      <c r="BC64" s="41">
        <f t="shared" si="66"/>
        <v>0</v>
      </c>
      <c r="BD64" s="41">
        <f t="shared" si="67"/>
        <v>0</v>
      </c>
      <c r="BE64" s="41">
        <v>0</v>
      </c>
      <c r="BF64" s="41">
        <f t="shared" si="68"/>
        <v>0.04</v>
      </c>
      <c r="BH64" s="55">
        <f t="shared" si="69"/>
        <v>0</v>
      </c>
      <c r="BI64" s="55">
        <f t="shared" si="70"/>
        <v>0</v>
      </c>
      <c r="BJ64" s="55">
        <f t="shared" si="71"/>
        <v>0</v>
      </c>
      <c r="BK64" s="55" t="s">
        <v>518</v>
      </c>
      <c r="BL64" s="41">
        <v>766</v>
      </c>
    </row>
    <row r="65" spans="1:64" ht="30" customHeight="1">
      <c r="A65" s="120" t="s">
        <v>171</v>
      </c>
      <c r="B65" s="132"/>
      <c r="C65" s="132" t="s">
        <v>273</v>
      </c>
      <c r="D65" s="265" t="s">
        <v>386</v>
      </c>
      <c r="E65" s="266"/>
      <c r="F65" s="121" t="s">
        <v>458</v>
      </c>
      <c r="G65" s="122">
        <v>1</v>
      </c>
      <c r="H65" s="135">
        <v>0</v>
      </c>
      <c r="I65" s="137">
        <f t="shared" si="48"/>
        <v>0</v>
      </c>
      <c r="J65" s="137">
        <f t="shared" si="49"/>
        <v>0</v>
      </c>
      <c r="K65" s="122">
        <f t="shared" si="50"/>
        <v>0</v>
      </c>
      <c r="L65" s="122">
        <v>0.037</v>
      </c>
      <c r="M65" s="122">
        <f t="shared" si="51"/>
        <v>0.037</v>
      </c>
      <c r="N65" s="113" t="s">
        <v>585</v>
      </c>
      <c r="O65" s="15"/>
      <c r="Z65" s="41">
        <f t="shared" si="52"/>
        <v>0</v>
      </c>
      <c r="AB65" s="41">
        <f t="shared" si="53"/>
        <v>0</v>
      </c>
      <c r="AC65" s="41">
        <f t="shared" si="54"/>
        <v>0</v>
      </c>
      <c r="AD65" s="41">
        <f t="shared" si="55"/>
        <v>0</v>
      </c>
      <c r="AE65" s="41">
        <f t="shared" si="56"/>
        <v>0</v>
      </c>
      <c r="AF65" s="41">
        <f t="shared" si="57"/>
        <v>0</v>
      </c>
      <c r="AG65" s="41">
        <f t="shared" si="58"/>
        <v>0</v>
      </c>
      <c r="AH65" s="41">
        <f t="shared" si="59"/>
        <v>0</v>
      </c>
      <c r="AI65" s="59"/>
      <c r="AJ65" s="55">
        <f t="shared" si="60"/>
        <v>0</v>
      </c>
      <c r="AK65" s="55">
        <f t="shared" si="61"/>
        <v>0</v>
      </c>
      <c r="AL65" s="55">
        <f t="shared" si="62"/>
        <v>0</v>
      </c>
      <c r="AN65" s="41">
        <v>21</v>
      </c>
      <c r="AO65" s="41">
        <f>H65*1</f>
        <v>0</v>
      </c>
      <c r="AP65" s="41">
        <f>H65*(1-1)</f>
        <v>0</v>
      </c>
      <c r="AQ65" s="65" t="s">
        <v>137</v>
      </c>
      <c r="AV65" s="41">
        <f t="shared" si="63"/>
        <v>0</v>
      </c>
      <c r="AW65" s="41">
        <f t="shared" si="64"/>
        <v>0</v>
      </c>
      <c r="AX65" s="41">
        <f t="shared" si="65"/>
        <v>0</v>
      </c>
      <c r="AY65" s="66" t="s">
        <v>492</v>
      </c>
      <c r="AZ65" s="66" t="s">
        <v>508</v>
      </c>
      <c r="BA65" s="59" t="s">
        <v>512</v>
      </c>
      <c r="BC65" s="41">
        <f t="shared" si="66"/>
        <v>0</v>
      </c>
      <c r="BD65" s="41">
        <f t="shared" si="67"/>
        <v>0</v>
      </c>
      <c r="BE65" s="41">
        <v>0</v>
      </c>
      <c r="BF65" s="41">
        <f t="shared" si="68"/>
        <v>0.037</v>
      </c>
      <c r="BH65" s="55">
        <f t="shared" si="69"/>
        <v>0</v>
      </c>
      <c r="BI65" s="55">
        <f t="shared" si="70"/>
        <v>0</v>
      </c>
      <c r="BJ65" s="55">
        <f t="shared" si="71"/>
        <v>0</v>
      </c>
      <c r="BK65" s="55" t="s">
        <v>518</v>
      </c>
      <c r="BL65" s="41">
        <v>766</v>
      </c>
    </row>
    <row r="66" spans="1:47" ht="30" customHeight="1">
      <c r="A66" s="114"/>
      <c r="B66" s="131"/>
      <c r="C66" s="131" t="s">
        <v>85</v>
      </c>
      <c r="D66" s="263" t="s">
        <v>109</v>
      </c>
      <c r="E66" s="264"/>
      <c r="F66" s="116" t="s">
        <v>71</v>
      </c>
      <c r="G66" s="116" t="s">
        <v>71</v>
      </c>
      <c r="H66" s="116" t="s">
        <v>71</v>
      </c>
      <c r="I66" s="138" t="s">
        <v>71</v>
      </c>
      <c r="J66" s="138" t="s">
        <v>71</v>
      </c>
      <c r="K66" s="117">
        <f>SUM(K67:K76)</f>
        <v>0</v>
      </c>
      <c r="L66" s="118"/>
      <c r="M66" s="117">
        <f>SUM(M67:M76)</f>
        <v>1.3388571000000002</v>
      </c>
      <c r="N66" s="119"/>
      <c r="O66" s="15"/>
      <c r="AI66" s="59"/>
      <c r="AS66" s="69">
        <f>SUM(AJ67:AJ76)</f>
        <v>0</v>
      </c>
      <c r="AT66" s="69">
        <f>SUM(AK67:AK76)</f>
        <v>0</v>
      </c>
      <c r="AU66" s="69">
        <f>SUM(AL67:AL76)</f>
        <v>0</v>
      </c>
    </row>
    <row r="67" spans="1:64" ht="30" customHeight="1">
      <c r="A67" s="110" t="s">
        <v>172</v>
      </c>
      <c r="B67" s="130"/>
      <c r="C67" s="130" t="s">
        <v>274</v>
      </c>
      <c r="D67" s="261" t="s">
        <v>387</v>
      </c>
      <c r="E67" s="262"/>
      <c r="F67" s="111" t="s">
        <v>457</v>
      </c>
      <c r="G67" s="112">
        <v>67.6</v>
      </c>
      <c r="H67" s="134">
        <v>0</v>
      </c>
      <c r="I67" s="137">
        <f aca="true" t="shared" si="72" ref="I67:I76">G67*AO67</f>
        <v>0</v>
      </c>
      <c r="J67" s="137">
        <f aca="true" t="shared" si="73" ref="J67:J76">G67*AP67</f>
        <v>0</v>
      </c>
      <c r="K67" s="112">
        <f aca="true" t="shared" si="74" ref="K67:K76">G67*H67</f>
        <v>0</v>
      </c>
      <c r="L67" s="112">
        <v>0</v>
      </c>
      <c r="M67" s="112">
        <f aca="true" t="shared" si="75" ref="M67:M76">G67*L67</f>
        <v>0</v>
      </c>
      <c r="N67" s="113" t="s">
        <v>585</v>
      </c>
      <c r="O67" s="15"/>
      <c r="Z67" s="41">
        <f aca="true" t="shared" si="76" ref="Z67:Z76">IF(AQ67="5",BJ67,0)</f>
        <v>0</v>
      </c>
      <c r="AB67" s="41">
        <f aca="true" t="shared" si="77" ref="AB67:AB76">IF(AQ67="1",BH67,0)</f>
        <v>0</v>
      </c>
      <c r="AC67" s="41">
        <f aca="true" t="shared" si="78" ref="AC67:AC76">IF(AQ67="1",BI67,0)</f>
        <v>0</v>
      </c>
      <c r="AD67" s="41">
        <f aca="true" t="shared" si="79" ref="AD67:AD76">IF(AQ67="7",BH67,0)</f>
        <v>0</v>
      </c>
      <c r="AE67" s="41">
        <f aca="true" t="shared" si="80" ref="AE67:AE76">IF(AQ67="7",BI67,0)</f>
        <v>0</v>
      </c>
      <c r="AF67" s="41">
        <f aca="true" t="shared" si="81" ref="AF67:AF76">IF(AQ67="2",BH67,0)</f>
        <v>0</v>
      </c>
      <c r="AG67" s="41">
        <f aca="true" t="shared" si="82" ref="AG67:AG76">IF(AQ67="2",BI67,0)</f>
        <v>0</v>
      </c>
      <c r="AH67" s="41">
        <f aca="true" t="shared" si="83" ref="AH67:AH76">IF(AQ67="0",BJ67,0)</f>
        <v>0</v>
      </c>
      <c r="AI67" s="59"/>
      <c r="AJ67" s="54">
        <f aca="true" t="shared" si="84" ref="AJ67:AJ76">IF(AN67=0,K67,0)</f>
        <v>0</v>
      </c>
      <c r="AK67" s="54">
        <f aca="true" t="shared" si="85" ref="AK67:AK76">IF(AN67=15,K67,0)</f>
        <v>0</v>
      </c>
      <c r="AL67" s="54">
        <f aca="true" t="shared" si="86" ref="AL67:AL76">IF(AN67=21,K67,0)</f>
        <v>0</v>
      </c>
      <c r="AN67" s="41">
        <v>21</v>
      </c>
      <c r="AO67" s="41">
        <f>H67*0</f>
        <v>0</v>
      </c>
      <c r="AP67" s="41">
        <f>H67*(1-0)</f>
        <v>0</v>
      </c>
      <c r="AQ67" s="64" t="s">
        <v>137</v>
      </c>
      <c r="AV67" s="41">
        <f aca="true" t="shared" si="87" ref="AV67:AV76">AW67+AX67</f>
        <v>0</v>
      </c>
      <c r="AW67" s="41">
        <f aca="true" t="shared" si="88" ref="AW67:AW76">G67*AO67</f>
        <v>0</v>
      </c>
      <c r="AX67" s="41">
        <f aca="true" t="shared" si="89" ref="AX67:AX76">G67*AP67</f>
        <v>0</v>
      </c>
      <c r="AY67" s="66" t="s">
        <v>493</v>
      </c>
      <c r="AZ67" s="66" t="s">
        <v>509</v>
      </c>
      <c r="BA67" s="59" t="s">
        <v>512</v>
      </c>
      <c r="BC67" s="41">
        <f aca="true" t="shared" si="90" ref="BC67:BC76">AW67+AX67</f>
        <v>0</v>
      </c>
      <c r="BD67" s="41">
        <f aca="true" t="shared" si="91" ref="BD67:BD76">H67/(100-BE67)*100</f>
        <v>0</v>
      </c>
      <c r="BE67" s="41">
        <v>0</v>
      </c>
      <c r="BF67" s="41">
        <f aca="true" t="shared" si="92" ref="BF67:BF76">M67</f>
        <v>0</v>
      </c>
      <c r="BH67" s="54">
        <f aca="true" t="shared" si="93" ref="BH67:BH76">G67*AO67</f>
        <v>0</v>
      </c>
      <c r="BI67" s="54">
        <f aca="true" t="shared" si="94" ref="BI67:BI76">G67*AP67</f>
        <v>0</v>
      </c>
      <c r="BJ67" s="54">
        <f aca="true" t="shared" si="95" ref="BJ67:BJ76">G67*H67</f>
        <v>0</v>
      </c>
      <c r="BK67" s="54" t="s">
        <v>517</v>
      </c>
      <c r="BL67" s="41">
        <v>776</v>
      </c>
    </row>
    <row r="68" spans="1:64" ht="30" customHeight="1">
      <c r="A68" s="110" t="s">
        <v>173</v>
      </c>
      <c r="B68" s="130"/>
      <c r="C68" s="130" t="s">
        <v>275</v>
      </c>
      <c r="D68" s="261" t="s">
        <v>388</v>
      </c>
      <c r="E68" s="262"/>
      <c r="F68" s="111" t="s">
        <v>456</v>
      </c>
      <c r="G68" s="112">
        <v>204.29</v>
      </c>
      <c r="H68" s="134">
        <v>0</v>
      </c>
      <c r="I68" s="137">
        <f t="shared" si="72"/>
        <v>0</v>
      </c>
      <c r="J68" s="137">
        <f t="shared" si="73"/>
        <v>0</v>
      </c>
      <c r="K68" s="112">
        <f t="shared" si="74"/>
        <v>0</v>
      </c>
      <c r="L68" s="112">
        <v>0.001</v>
      </c>
      <c r="M68" s="112">
        <f t="shared" si="75"/>
        <v>0.20429</v>
      </c>
      <c r="N68" s="113" t="s">
        <v>585</v>
      </c>
      <c r="O68" s="15"/>
      <c r="Z68" s="41">
        <f t="shared" si="76"/>
        <v>0</v>
      </c>
      <c r="AB68" s="41">
        <f t="shared" si="77"/>
        <v>0</v>
      </c>
      <c r="AC68" s="41">
        <f t="shared" si="78"/>
        <v>0</v>
      </c>
      <c r="AD68" s="41">
        <f t="shared" si="79"/>
        <v>0</v>
      </c>
      <c r="AE68" s="41">
        <f t="shared" si="80"/>
        <v>0</v>
      </c>
      <c r="AF68" s="41">
        <f t="shared" si="81"/>
        <v>0</v>
      </c>
      <c r="AG68" s="41">
        <f t="shared" si="82"/>
        <v>0</v>
      </c>
      <c r="AH68" s="41">
        <f t="shared" si="83"/>
        <v>0</v>
      </c>
      <c r="AI68" s="59"/>
      <c r="AJ68" s="54">
        <f t="shared" si="84"/>
        <v>0</v>
      </c>
      <c r="AK68" s="54">
        <f t="shared" si="85"/>
        <v>0</v>
      </c>
      <c r="AL68" s="54">
        <f t="shared" si="86"/>
        <v>0</v>
      </c>
      <c r="AN68" s="41">
        <v>21</v>
      </c>
      <c r="AO68" s="41">
        <f>H68*0</f>
        <v>0</v>
      </c>
      <c r="AP68" s="41">
        <f>H68*(1-0)</f>
        <v>0</v>
      </c>
      <c r="AQ68" s="64" t="s">
        <v>137</v>
      </c>
      <c r="AV68" s="41">
        <f t="shared" si="87"/>
        <v>0</v>
      </c>
      <c r="AW68" s="41">
        <f t="shared" si="88"/>
        <v>0</v>
      </c>
      <c r="AX68" s="41">
        <f t="shared" si="89"/>
        <v>0</v>
      </c>
      <c r="AY68" s="66" t="s">
        <v>493</v>
      </c>
      <c r="AZ68" s="66" t="s">
        <v>509</v>
      </c>
      <c r="BA68" s="59" t="s">
        <v>512</v>
      </c>
      <c r="BC68" s="41">
        <f t="shared" si="90"/>
        <v>0</v>
      </c>
      <c r="BD68" s="41">
        <f t="shared" si="91"/>
        <v>0</v>
      </c>
      <c r="BE68" s="41">
        <v>0</v>
      </c>
      <c r="BF68" s="41">
        <f t="shared" si="92"/>
        <v>0.20429</v>
      </c>
      <c r="BH68" s="54">
        <f t="shared" si="93"/>
        <v>0</v>
      </c>
      <c r="BI68" s="54">
        <f t="shared" si="94"/>
        <v>0</v>
      </c>
      <c r="BJ68" s="54">
        <f t="shared" si="95"/>
        <v>0</v>
      </c>
      <c r="BK68" s="54" t="s">
        <v>517</v>
      </c>
      <c r="BL68" s="41">
        <v>776</v>
      </c>
    </row>
    <row r="69" spans="1:64" ht="30" customHeight="1">
      <c r="A69" s="110" t="s">
        <v>174</v>
      </c>
      <c r="B69" s="130"/>
      <c r="C69" s="130" t="s">
        <v>276</v>
      </c>
      <c r="D69" s="261" t="s">
        <v>389</v>
      </c>
      <c r="E69" s="262"/>
      <c r="F69" s="111" t="s">
        <v>456</v>
      </c>
      <c r="G69" s="112">
        <v>242.58</v>
      </c>
      <c r="H69" s="134">
        <v>0</v>
      </c>
      <c r="I69" s="137">
        <f t="shared" si="72"/>
        <v>0</v>
      </c>
      <c r="J69" s="137">
        <f t="shared" si="73"/>
        <v>0</v>
      </c>
      <c r="K69" s="112">
        <f t="shared" si="74"/>
        <v>0</v>
      </c>
      <c r="L69" s="112">
        <v>0</v>
      </c>
      <c r="M69" s="112">
        <f t="shared" si="75"/>
        <v>0</v>
      </c>
      <c r="N69" s="113" t="s">
        <v>585</v>
      </c>
      <c r="O69" s="15"/>
      <c r="Z69" s="41">
        <f t="shared" si="76"/>
        <v>0</v>
      </c>
      <c r="AB69" s="41">
        <f t="shared" si="77"/>
        <v>0</v>
      </c>
      <c r="AC69" s="41">
        <f t="shared" si="78"/>
        <v>0</v>
      </c>
      <c r="AD69" s="41">
        <f t="shared" si="79"/>
        <v>0</v>
      </c>
      <c r="AE69" s="41">
        <f t="shared" si="80"/>
        <v>0</v>
      </c>
      <c r="AF69" s="41">
        <f t="shared" si="81"/>
        <v>0</v>
      </c>
      <c r="AG69" s="41">
        <f t="shared" si="82"/>
        <v>0</v>
      </c>
      <c r="AH69" s="41">
        <f t="shared" si="83"/>
        <v>0</v>
      </c>
      <c r="AI69" s="59"/>
      <c r="AJ69" s="54">
        <f t="shared" si="84"/>
        <v>0</v>
      </c>
      <c r="AK69" s="54">
        <f t="shared" si="85"/>
        <v>0</v>
      </c>
      <c r="AL69" s="54">
        <f t="shared" si="86"/>
        <v>0</v>
      </c>
      <c r="AN69" s="41">
        <v>21</v>
      </c>
      <c r="AO69" s="41">
        <f>H69*0</f>
        <v>0</v>
      </c>
      <c r="AP69" s="41">
        <f>H69*(1-0)</f>
        <v>0</v>
      </c>
      <c r="AQ69" s="64" t="s">
        <v>137</v>
      </c>
      <c r="AV69" s="41">
        <f t="shared" si="87"/>
        <v>0</v>
      </c>
      <c r="AW69" s="41">
        <f t="shared" si="88"/>
        <v>0</v>
      </c>
      <c r="AX69" s="41">
        <f t="shared" si="89"/>
        <v>0</v>
      </c>
      <c r="AY69" s="66" t="s">
        <v>493</v>
      </c>
      <c r="AZ69" s="66" t="s">
        <v>509</v>
      </c>
      <c r="BA69" s="59" t="s">
        <v>512</v>
      </c>
      <c r="BC69" s="41">
        <f t="shared" si="90"/>
        <v>0</v>
      </c>
      <c r="BD69" s="41">
        <f t="shared" si="91"/>
        <v>0</v>
      </c>
      <c r="BE69" s="41">
        <v>0</v>
      </c>
      <c r="BF69" s="41">
        <f t="shared" si="92"/>
        <v>0</v>
      </c>
      <c r="BH69" s="54">
        <f t="shared" si="93"/>
        <v>0</v>
      </c>
      <c r="BI69" s="54">
        <f t="shared" si="94"/>
        <v>0</v>
      </c>
      <c r="BJ69" s="54">
        <f t="shared" si="95"/>
        <v>0</v>
      </c>
      <c r="BK69" s="54" t="s">
        <v>517</v>
      </c>
      <c r="BL69" s="41">
        <v>776</v>
      </c>
    </row>
    <row r="70" spans="1:64" ht="30" customHeight="1">
      <c r="A70" s="110" t="s">
        <v>175</v>
      </c>
      <c r="B70" s="130"/>
      <c r="C70" s="130" t="s">
        <v>277</v>
      </c>
      <c r="D70" s="261" t="s">
        <v>390</v>
      </c>
      <c r="E70" s="262"/>
      <c r="F70" s="111" t="s">
        <v>456</v>
      </c>
      <c r="G70" s="112">
        <v>242.58</v>
      </c>
      <c r="H70" s="134">
        <v>0</v>
      </c>
      <c r="I70" s="137">
        <f t="shared" si="72"/>
        <v>0</v>
      </c>
      <c r="J70" s="137">
        <f t="shared" si="73"/>
        <v>0</v>
      </c>
      <c r="K70" s="112">
        <f t="shared" si="74"/>
        <v>0</v>
      </c>
      <c r="L70" s="112">
        <v>0</v>
      </c>
      <c r="M70" s="112">
        <f t="shared" si="75"/>
        <v>0</v>
      </c>
      <c r="N70" s="113" t="s">
        <v>585</v>
      </c>
      <c r="O70" s="15"/>
      <c r="Z70" s="41">
        <f t="shared" si="76"/>
        <v>0</v>
      </c>
      <c r="AB70" s="41">
        <f t="shared" si="77"/>
        <v>0</v>
      </c>
      <c r="AC70" s="41">
        <f t="shared" si="78"/>
        <v>0</v>
      </c>
      <c r="AD70" s="41">
        <f t="shared" si="79"/>
        <v>0</v>
      </c>
      <c r="AE70" s="41">
        <f t="shared" si="80"/>
        <v>0</v>
      </c>
      <c r="AF70" s="41">
        <f t="shared" si="81"/>
        <v>0</v>
      </c>
      <c r="AG70" s="41">
        <f t="shared" si="82"/>
        <v>0</v>
      </c>
      <c r="AH70" s="41">
        <f t="shared" si="83"/>
        <v>0</v>
      </c>
      <c r="AI70" s="59"/>
      <c r="AJ70" s="54">
        <f t="shared" si="84"/>
        <v>0</v>
      </c>
      <c r="AK70" s="54">
        <f t="shared" si="85"/>
        <v>0</v>
      </c>
      <c r="AL70" s="54">
        <f t="shared" si="86"/>
        <v>0</v>
      </c>
      <c r="AN70" s="41">
        <v>21</v>
      </c>
      <c r="AO70" s="41">
        <f>H70*0.499360180616136</f>
        <v>0</v>
      </c>
      <c r="AP70" s="41">
        <f>H70*(1-0.499360180616136)</f>
        <v>0</v>
      </c>
      <c r="AQ70" s="64" t="s">
        <v>137</v>
      </c>
      <c r="AV70" s="41">
        <f t="shared" si="87"/>
        <v>0</v>
      </c>
      <c r="AW70" s="41">
        <f t="shared" si="88"/>
        <v>0</v>
      </c>
      <c r="AX70" s="41">
        <f t="shared" si="89"/>
        <v>0</v>
      </c>
      <c r="AY70" s="66" t="s">
        <v>493</v>
      </c>
      <c r="AZ70" s="66" t="s">
        <v>509</v>
      </c>
      <c r="BA70" s="59" t="s">
        <v>512</v>
      </c>
      <c r="BC70" s="41">
        <f t="shared" si="90"/>
        <v>0</v>
      </c>
      <c r="BD70" s="41">
        <f t="shared" si="91"/>
        <v>0</v>
      </c>
      <c r="BE70" s="41">
        <v>0</v>
      </c>
      <c r="BF70" s="41">
        <f t="shared" si="92"/>
        <v>0</v>
      </c>
      <c r="BH70" s="54">
        <f t="shared" si="93"/>
        <v>0</v>
      </c>
      <c r="BI70" s="54">
        <f t="shared" si="94"/>
        <v>0</v>
      </c>
      <c r="BJ70" s="54">
        <f t="shared" si="95"/>
        <v>0</v>
      </c>
      <c r="BK70" s="54" t="s">
        <v>517</v>
      </c>
      <c r="BL70" s="41">
        <v>776</v>
      </c>
    </row>
    <row r="71" spans="1:64" ht="30" customHeight="1">
      <c r="A71" s="110" t="s">
        <v>176</v>
      </c>
      <c r="B71" s="130"/>
      <c r="C71" s="130" t="s">
        <v>278</v>
      </c>
      <c r="D71" s="261" t="s">
        <v>391</v>
      </c>
      <c r="E71" s="262"/>
      <c r="F71" s="111" t="s">
        <v>457</v>
      </c>
      <c r="G71" s="112">
        <v>90.1</v>
      </c>
      <c r="H71" s="134">
        <v>0</v>
      </c>
      <c r="I71" s="137">
        <f t="shared" si="72"/>
        <v>0</v>
      </c>
      <c r="J71" s="137">
        <f t="shared" si="73"/>
        <v>0</v>
      </c>
      <c r="K71" s="112">
        <f t="shared" si="74"/>
        <v>0</v>
      </c>
      <c r="L71" s="112">
        <v>8E-05</v>
      </c>
      <c r="M71" s="112">
        <f t="shared" si="75"/>
        <v>0.007208</v>
      </c>
      <c r="N71" s="113" t="s">
        <v>585</v>
      </c>
      <c r="O71" s="15"/>
      <c r="Z71" s="41">
        <f t="shared" si="76"/>
        <v>0</v>
      </c>
      <c r="AB71" s="41">
        <f t="shared" si="77"/>
        <v>0</v>
      </c>
      <c r="AC71" s="41">
        <f t="shared" si="78"/>
        <v>0</v>
      </c>
      <c r="AD71" s="41">
        <f t="shared" si="79"/>
        <v>0</v>
      </c>
      <c r="AE71" s="41">
        <f t="shared" si="80"/>
        <v>0</v>
      </c>
      <c r="AF71" s="41">
        <f t="shared" si="81"/>
        <v>0</v>
      </c>
      <c r="AG71" s="41">
        <f t="shared" si="82"/>
        <v>0</v>
      </c>
      <c r="AH71" s="41">
        <f t="shared" si="83"/>
        <v>0</v>
      </c>
      <c r="AI71" s="59"/>
      <c r="AJ71" s="54">
        <f t="shared" si="84"/>
        <v>0</v>
      </c>
      <c r="AK71" s="54">
        <f t="shared" si="85"/>
        <v>0</v>
      </c>
      <c r="AL71" s="54">
        <f t="shared" si="86"/>
        <v>0</v>
      </c>
      <c r="AN71" s="41">
        <v>21</v>
      </c>
      <c r="AO71" s="41">
        <f>H71*0.310060975609756</f>
        <v>0</v>
      </c>
      <c r="AP71" s="41">
        <f>H71*(1-0.310060975609756)</f>
        <v>0</v>
      </c>
      <c r="AQ71" s="64" t="s">
        <v>137</v>
      </c>
      <c r="AV71" s="41">
        <f t="shared" si="87"/>
        <v>0</v>
      </c>
      <c r="AW71" s="41">
        <f t="shared" si="88"/>
        <v>0</v>
      </c>
      <c r="AX71" s="41">
        <f t="shared" si="89"/>
        <v>0</v>
      </c>
      <c r="AY71" s="66" t="s">
        <v>493</v>
      </c>
      <c r="AZ71" s="66" t="s">
        <v>509</v>
      </c>
      <c r="BA71" s="59" t="s">
        <v>512</v>
      </c>
      <c r="BC71" s="41">
        <f t="shared" si="90"/>
        <v>0</v>
      </c>
      <c r="BD71" s="41">
        <f t="shared" si="91"/>
        <v>0</v>
      </c>
      <c r="BE71" s="41">
        <v>0</v>
      </c>
      <c r="BF71" s="41">
        <f t="shared" si="92"/>
        <v>0.007208</v>
      </c>
      <c r="BH71" s="54">
        <f t="shared" si="93"/>
        <v>0</v>
      </c>
      <c r="BI71" s="54">
        <f t="shared" si="94"/>
        <v>0</v>
      </c>
      <c r="BJ71" s="54">
        <f t="shared" si="95"/>
        <v>0</v>
      </c>
      <c r="BK71" s="54" t="s">
        <v>517</v>
      </c>
      <c r="BL71" s="41">
        <v>776</v>
      </c>
    </row>
    <row r="72" spans="1:64" ht="30" customHeight="1">
      <c r="A72" s="110" t="s">
        <v>177</v>
      </c>
      <c r="B72" s="130"/>
      <c r="C72" s="130" t="s">
        <v>279</v>
      </c>
      <c r="D72" s="261" t="s">
        <v>392</v>
      </c>
      <c r="E72" s="262"/>
      <c r="F72" s="111" t="s">
        <v>456</v>
      </c>
      <c r="G72" s="112">
        <v>242.58</v>
      </c>
      <c r="H72" s="134">
        <v>0</v>
      </c>
      <c r="I72" s="137">
        <f t="shared" si="72"/>
        <v>0</v>
      </c>
      <c r="J72" s="137">
        <f t="shared" si="73"/>
        <v>0</v>
      </c>
      <c r="K72" s="112">
        <f t="shared" si="74"/>
        <v>0</v>
      </c>
      <c r="L72" s="112">
        <v>0.00025</v>
      </c>
      <c r="M72" s="112">
        <f t="shared" si="75"/>
        <v>0.060645000000000004</v>
      </c>
      <c r="N72" s="113" t="s">
        <v>585</v>
      </c>
      <c r="O72" s="15"/>
      <c r="Z72" s="41">
        <f t="shared" si="76"/>
        <v>0</v>
      </c>
      <c r="AB72" s="41">
        <f t="shared" si="77"/>
        <v>0</v>
      </c>
      <c r="AC72" s="41">
        <f t="shared" si="78"/>
        <v>0</v>
      </c>
      <c r="AD72" s="41">
        <f t="shared" si="79"/>
        <v>0</v>
      </c>
      <c r="AE72" s="41">
        <f t="shared" si="80"/>
        <v>0</v>
      </c>
      <c r="AF72" s="41">
        <f t="shared" si="81"/>
        <v>0</v>
      </c>
      <c r="AG72" s="41">
        <f t="shared" si="82"/>
        <v>0</v>
      </c>
      <c r="AH72" s="41">
        <f t="shared" si="83"/>
        <v>0</v>
      </c>
      <c r="AI72" s="59"/>
      <c r="AJ72" s="54">
        <f t="shared" si="84"/>
        <v>0</v>
      </c>
      <c r="AK72" s="54">
        <f t="shared" si="85"/>
        <v>0</v>
      </c>
      <c r="AL72" s="54">
        <f t="shared" si="86"/>
        <v>0</v>
      </c>
      <c r="AN72" s="41">
        <v>21</v>
      </c>
      <c r="AO72" s="41">
        <f>H72*0.269105058365759</f>
        <v>0</v>
      </c>
      <c r="AP72" s="41">
        <f>H72*(1-0.269105058365759)</f>
        <v>0</v>
      </c>
      <c r="AQ72" s="64" t="s">
        <v>137</v>
      </c>
      <c r="AV72" s="41">
        <f t="shared" si="87"/>
        <v>0</v>
      </c>
      <c r="AW72" s="41">
        <f t="shared" si="88"/>
        <v>0</v>
      </c>
      <c r="AX72" s="41">
        <f t="shared" si="89"/>
        <v>0</v>
      </c>
      <c r="AY72" s="66" t="s">
        <v>493</v>
      </c>
      <c r="AZ72" s="66" t="s">
        <v>509</v>
      </c>
      <c r="BA72" s="59" t="s">
        <v>512</v>
      </c>
      <c r="BC72" s="41">
        <f t="shared" si="90"/>
        <v>0</v>
      </c>
      <c r="BD72" s="41">
        <f t="shared" si="91"/>
        <v>0</v>
      </c>
      <c r="BE72" s="41">
        <v>0</v>
      </c>
      <c r="BF72" s="41">
        <f t="shared" si="92"/>
        <v>0.060645000000000004</v>
      </c>
      <c r="BH72" s="54">
        <f t="shared" si="93"/>
        <v>0</v>
      </c>
      <c r="BI72" s="54">
        <f t="shared" si="94"/>
        <v>0</v>
      </c>
      <c r="BJ72" s="54">
        <f t="shared" si="95"/>
        <v>0</v>
      </c>
      <c r="BK72" s="54" t="s">
        <v>517</v>
      </c>
      <c r="BL72" s="41">
        <v>776</v>
      </c>
    </row>
    <row r="73" spans="1:64" ht="30" customHeight="1">
      <c r="A73" s="120" t="s">
        <v>178</v>
      </c>
      <c r="B73" s="132"/>
      <c r="C73" s="132" t="s">
        <v>280</v>
      </c>
      <c r="D73" s="265" t="s">
        <v>393</v>
      </c>
      <c r="E73" s="266"/>
      <c r="F73" s="121" t="s">
        <v>456</v>
      </c>
      <c r="G73" s="122">
        <v>266.838</v>
      </c>
      <c r="H73" s="135">
        <v>0</v>
      </c>
      <c r="I73" s="137">
        <f t="shared" si="72"/>
        <v>0</v>
      </c>
      <c r="J73" s="137">
        <f t="shared" si="73"/>
        <v>0</v>
      </c>
      <c r="K73" s="122">
        <f t="shared" si="74"/>
        <v>0</v>
      </c>
      <c r="L73" s="122">
        <v>0.00395</v>
      </c>
      <c r="M73" s="122">
        <f t="shared" si="75"/>
        <v>1.0540101000000002</v>
      </c>
      <c r="N73" s="113" t="s">
        <v>585</v>
      </c>
      <c r="O73" s="15"/>
      <c r="Z73" s="41">
        <f t="shared" si="76"/>
        <v>0</v>
      </c>
      <c r="AB73" s="41">
        <f t="shared" si="77"/>
        <v>0</v>
      </c>
      <c r="AC73" s="41">
        <f t="shared" si="78"/>
        <v>0</v>
      </c>
      <c r="AD73" s="41">
        <f t="shared" si="79"/>
        <v>0</v>
      </c>
      <c r="AE73" s="41">
        <f t="shared" si="80"/>
        <v>0</v>
      </c>
      <c r="AF73" s="41">
        <f t="shared" si="81"/>
        <v>0</v>
      </c>
      <c r="AG73" s="41">
        <f t="shared" si="82"/>
        <v>0</v>
      </c>
      <c r="AH73" s="41">
        <f t="shared" si="83"/>
        <v>0</v>
      </c>
      <c r="AI73" s="59"/>
      <c r="AJ73" s="55">
        <f t="shared" si="84"/>
        <v>0</v>
      </c>
      <c r="AK73" s="55">
        <f t="shared" si="85"/>
        <v>0</v>
      </c>
      <c r="AL73" s="55">
        <f t="shared" si="86"/>
        <v>0</v>
      </c>
      <c r="AN73" s="41">
        <v>21</v>
      </c>
      <c r="AO73" s="41">
        <f>H73*1</f>
        <v>0</v>
      </c>
      <c r="AP73" s="41">
        <f>H73*(1-1)</f>
        <v>0</v>
      </c>
      <c r="AQ73" s="65" t="s">
        <v>137</v>
      </c>
      <c r="AV73" s="41">
        <f t="shared" si="87"/>
        <v>0</v>
      </c>
      <c r="AW73" s="41">
        <f t="shared" si="88"/>
        <v>0</v>
      </c>
      <c r="AX73" s="41">
        <f t="shared" si="89"/>
        <v>0</v>
      </c>
      <c r="AY73" s="66" t="s">
        <v>493</v>
      </c>
      <c r="AZ73" s="66" t="s">
        <v>509</v>
      </c>
      <c r="BA73" s="59" t="s">
        <v>512</v>
      </c>
      <c r="BC73" s="41">
        <f t="shared" si="90"/>
        <v>0</v>
      </c>
      <c r="BD73" s="41">
        <f t="shared" si="91"/>
        <v>0</v>
      </c>
      <c r="BE73" s="41">
        <v>0</v>
      </c>
      <c r="BF73" s="41">
        <f t="shared" si="92"/>
        <v>1.0540101000000002</v>
      </c>
      <c r="BH73" s="55">
        <f t="shared" si="93"/>
        <v>0</v>
      </c>
      <c r="BI73" s="55">
        <f t="shared" si="94"/>
        <v>0</v>
      </c>
      <c r="BJ73" s="55">
        <f t="shared" si="95"/>
        <v>0</v>
      </c>
      <c r="BK73" s="55" t="s">
        <v>518</v>
      </c>
      <c r="BL73" s="41">
        <v>776</v>
      </c>
    </row>
    <row r="74" spans="1:64" ht="30" customHeight="1">
      <c r="A74" s="110" t="s">
        <v>179</v>
      </c>
      <c r="B74" s="130"/>
      <c r="C74" s="130" t="s">
        <v>281</v>
      </c>
      <c r="D74" s="261" t="s">
        <v>394</v>
      </c>
      <c r="E74" s="262"/>
      <c r="F74" s="111" t="s">
        <v>456</v>
      </c>
      <c r="G74" s="112">
        <v>242</v>
      </c>
      <c r="H74" s="134">
        <v>0</v>
      </c>
      <c r="I74" s="137">
        <f t="shared" si="72"/>
        <v>0</v>
      </c>
      <c r="J74" s="137">
        <f t="shared" si="73"/>
        <v>0</v>
      </c>
      <c r="K74" s="112">
        <f t="shared" si="74"/>
        <v>0</v>
      </c>
      <c r="L74" s="112">
        <v>3E-05</v>
      </c>
      <c r="M74" s="112">
        <f t="shared" si="75"/>
        <v>0.00726</v>
      </c>
      <c r="N74" s="113" t="s">
        <v>585</v>
      </c>
      <c r="O74" s="15"/>
      <c r="Z74" s="41">
        <f t="shared" si="76"/>
        <v>0</v>
      </c>
      <c r="AB74" s="41">
        <f t="shared" si="77"/>
        <v>0</v>
      </c>
      <c r="AC74" s="41">
        <f t="shared" si="78"/>
        <v>0</v>
      </c>
      <c r="AD74" s="41">
        <f t="shared" si="79"/>
        <v>0</v>
      </c>
      <c r="AE74" s="41">
        <f t="shared" si="80"/>
        <v>0</v>
      </c>
      <c r="AF74" s="41">
        <f t="shared" si="81"/>
        <v>0</v>
      </c>
      <c r="AG74" s="41">
        <f t="shared" si="82"/>
        <v>0</v>
      </c>
      <c r="AH74" s="41">
        <f t="shared" si="83"/>
        <v>0</v>
      </c>
      <c r="AI74" s="59"/>
      <c r="AJ74" s="54">
        <f t="shared" si="84"/>
        <v>0</v>
      </c>
      <c r="AK74" s="54">
        <f t="shared" si="85"/>
        <v>0</v>
      </c>
      <c r="AL74" s="54">
        <f t="shared" si="86"/>
        <v>0</v>
      </c>
      <c r="AN74" s="41">
        <v>21</v>
      </c>
      <c r="AO74" s="41">
        <f>H74*0.204705882352941</f>
        <v>0</v>
      </c>
      <c r="AP74" s="41">
        <f>H74*(1-0.204705882352941)</f>
        <v>0</v>
      </c>
      <c r="AQ74" s="64" t="s">
        <v>137</v>
      </c>
      <c r="AV74" s="41">
        <f t="shared" si="87"/>
        <v>0</v>
      </c>
      <c r="AW74" s="41">
        <f t="shared" si="88"/>
        <v>0</v>
      </c>
      <c r="AX74" s="41">
        <f t="shared" si="89"/>
        <v>0</v>
      </c>
      <c r="AY74" s="66" t="s">
        <v>493</v>
      </c>
      <c r="AZ74" s="66" t="s">
        <v>509</v>
      </c>
      <c r="BA74" s="59" t="s">
        <v>512</v>
      </c>
      <c r="BC74" s="41">
        <f t="shared" si="90"/>
        <v>0</v>
      </c>
      <c r="BD74" s="41">
        <f t="shared" si="91"/>
        <v>0</v>
      </c>
      <c r="BE74" s="41">
        <v>0</v>
      </c>
      <c r="BF74" s="41">
        <f t="shared" si="92"/>
        <v>0.00726</v>
      </c>
      <c r="BH74" s="54">
        <f t="shared" si="93"/>
        <v>0</v>
      </c>
      <c r="BI74" s="54">
        <f t="shared" si="94"/>
        <v>0</v>
      </c>
      <c r="BJ74" s="54">
        <f t="shared" si="95"/>
        <v>0</v>
      </c>
      <c r="BK74" s="54" t="s">
        <v>517</v>
      </c>
      <c r="BL74" s="41">
        <v>776</v>
      </c>
    </row>
    <row r="75" spans="1:64" ht="30" customHeight="1">
      <c r="A75" s="110" t="s">
        <v>180</v>
      </c>
      <c r="B75" s="130"/>
      <c r="C75" s="130" t="s">
        <v>282</v>
      </c>
      <c r="D75" s="261" t="s">
        <v>395</v>
      </c>
      <c r="E75" s="262"/>
      <c r="F75" s="111" t="s">
        <v>457</v>
      </c>
      <c r="G75" s="112">
        <v>119.1</v>
      </c>
      <c r="H75" s="134">
        <v>0</v>
      </c>
      <c r="I75" s="137">
        <f t="shared" si="72"/>
        <v>0</v>
      </c>
      <c r="J75" s="137">
        <f t="shared" si="73"/>
        <v>0</v>
      </c>
      <c r="K75" s="112">
        <f t="shared" si="74"/>
        <v>0</v>
      </c>
      <c r="L75" s="112">
        <v>4E-05</v>
      </c>
      <c r="M75" s="112">
        <f t="shared" si="75"/>
        <v>0.004764</v>
      </c>
      <c r="N75" s="113" t="s">
        <v>585</v>
      </c>
      <c r="O75" s="15"/>
      <c r="Z75" s="41">
        <f t="shared" si="76"/>
        <v>0</v>
      </c>
      <c r="AB75" s="41">
        <f t="shared" si="77"/>
        <v>0</v>
      </c>
      <c r="AC75" s="41">
        <f t="shared" si="78"/>
        <v>0</v>
      </c>
      <c r="AD75" s="41">
        <f t="shared" si="79"/>
        <v>0</v>
      </c>
      <c r="AE75" s="41">
        <f t="shared" si="80"/>
        <v>0</v>
      </c>
      <c r="AF75" s="41">
        <f t="shared" si="81"/>
        <v>0</v>
      </c>
      <c r="AG75" s="41">
        <f t="shared" si="82"/>
        <v>0</v>
      </c>
      <c r="AH75" s="41">
        <f t="shared" si="83"/>
        <v>0</v>
      </c>
      <c r="AI75" s="59"/>
      <c r="AJ75" s="54">
        <f t="shared" si="84"/>
        <v>0</v>
      </c>
      <c r="AK75" s="54">
        <f t="shared" si="85"/>
        <v>0</v>
      </c>
      <c r="AL75" s="54">
        <f t="shared" si="86"/>
        <v>0</v>
      </c>
      <c r="AN75" s="41">
        <v>21</v>
      </c>
      <c r="AO75" s="41">
        <f>H75*0.212219959266802</f>
        <v>0</v>
      </c>
      <c r="AP75" s="41">
        <f>H75*(1-0.212219959266802)</f>
        <v>0</v>
      </c>
      <c r="AQ75" s="64" t="s">
        <v>137</v>
      </c>
      <c r="AV75" s="41">
        <f t="shared" si="87"/>
        <v>0</v>
      </c>
      <c r="AW75" s="41">
        <f t="shared" si="88"/>
        <v>0</v>
      </c>
      <c r="AX75" s="41">
        <f t="shared" si="89"/>
        <v>0</v>
      </c>
      <c r="AY75" s="66" t="s">
        <v>493</v>
      </c>
      <c r="AZ75" s="66" t="s">
        <v>509</v>
      </c>
      <c r="BA75" s="59" t="s">
        <v>512</v>
      </c>
      <c r="BC75" s="41">
        <f t="shared" si="90"/>
        <v>0</v>
      </c>
      <c r="BD75" s="41">
        <f t="shared" si="91"/>
        <v>0</v>
      </c>
      <c r="BE75" s="41">
        <v>0</v>
      </c>
      <c r="BF75" s="41">
        <f t="shared" si="92"/>
        <v>0.004764</v>
      </c>
      <c r="BH75" s="54">
        <f t="shared" si="93"/>
        <v>0</v>
      </c>
      <c r="BI75" s="54">
        <f t="shared" si="94"/>
        <v>0</v>
      </c>
      <c r="BJ75" s="54">
        <f t="shared" si="95"/>
        <v>0</v>
      </c>
      <c r="BK75" s="54" t="s">
        <v>517</v>
      </c>
      <c r="BL75" s="41">
        <v>776</v>
      </c>
    </row>
    <row r="76" spans="1:64" ht="30" customHeight="1">
      <c r="A76" s="110" t="s">
        <v>181</v>
      </c>
      <c r="B76" s="130"/>
      <c r="C76" s="130" t="s">
        <v>283</v>
      </c>
      <c r="D76" s="261" t="s">
        <v>396</v>
      </c>
      <c r="E76" s="262"/>
      <c r="F76" s="111" t="s">
        <v>457</v>
      </c>
      <c r="G76" s="112">
        <v>2</v>
      </c>
      <c r="H76" s="134">
        <v>0</v>
      </c>
      <c r="I76" s="137">
        <f t="shared" si="72"/>
        <v>0</v>
      </c>
      <c r="J76" s="137">
        <f t="shared" si="73"/>
        <v>0</v>
      </c>
      <c r="K76" s="112">
        <f t="shared" si="74"/>
        <v>0</v>
      </c>
      <c r="L76" s="112">
        <v>0.00034</v>
      </c>
      <c r="M76" s="112">
        <f t="shared" si="75"/>
        <v>0.00068</v>
      </c>
      <c r="N76" s="113" t="s">
        <v>585</v>
      </c>
      <c r="O76" s="15"/>
      <c r="Z76" s="41">
        <f t="shared" si="76"/>
        <v>0</v>
      </c>
      <c r="AB76" s="41">
        <f t="shared" si="77"/>
        <v>0</v>
      </c>
      <c r="AC76" s="41">
        <f t="shared" si="78"/>
        <v>0</v>
      </c>
      <c r="AD76" s="41">
        <f t="shared" si="79"/>
        <v>0</v>
      </c>
      <c r="AE76" s="41">
        <f t="shared" si="80"/>
        <v>0</v>
      </c>
      <c r="AF76" s="41">
        <f t="shared" si="81"/>
        <v>0</v>
      </c>
      <c r="AG76" s="41">
        <f t="shared" si="82"/>
        <v>0</v>
      </c>
      <c r="AH76" s="41">
        <f t="shared" si="83"/>
        <v>0</v>
      </c>
      <c r="AI76" s="59"/>
      <c r="AJ76" s="54">
        <f t="shared" si="84"/>
        <v>0</v>
      </c>
      <c r="AK76" s="54">
        <f t="shared" si="85"/>
        <v>0</v>
      </c>
      <c r="AL76" s="54">
        <f t="shared" si="86"/>
        <v>0</v>
      </c>
      <c r="AN76" s="41">
        <v>21</v>
      </c>
      <c r="AO76" s="41">
        <f>H76*0.7736</f>
        <v>0</v>
      </c>
      <c r="AP76" s="41">
        <f>H76*(1-0.7736)</f>
        <v>0</v>
      </c>
      <c r="AQ76" s="64" t="s">
        <v>137</v>
      </c>
      <c r="AV76" s="41">
        <f t="shared" si="87"/>
        <v>0</v>
      </c>
      <c r="AW76" s="41">
        <f t="shared" si="88"/>
        <v>0</v>
      </c>
      <c r="AX76" s="41">
        <f t="shared" si="89"/>
        <v>0</v>
      </c>
      <c r="AY76" s="66" t="s">
        <v>493</v>
      </c>
      <c r="AZ76" s="66" t="s">
        <v>509</v>
      </c>
      <c r="BA76" s="59" t="s">
        <v>512</v>
      </c>
      <c r="BC76" s="41">
        <f t="shared" si="90"/>
        <v>0</v>
      </c>
      <c r="BD76" s="41">
        <f t="shared" si="91"/>
        <v>0</v>
      </c>
      <c r="BE76" s="41">
        <v>0</v>
      </c>
      <c r="BF76" s="41">
        <f t="shared" si="92"/>
        <v>0.00068</v>
      </c>
      <c r="BH76" s="54">
        <f t="shared" si="93"/>
        <v>0</v>
      </c>
      <c r="BI76" s="54">
        <f t="shared" si="94"/>
        <v>0</v>
      </c>
      <c r="BJ76" s="54">
        <f t="shared" si="95"/>
        <v>0</v>
      </c>
      <c r="BK76" s="54" t="s">
        <v>517</v>
      </c>
      <c r="BL76" s="41">
        <v>776</v>
      </c>
    </row>
    <row r="77" spans="1:47" ht="30" customHeight="1">
      <c r="A77" s="114"/>
      <c r="B77" s="131"/>
      <c r="C77" s="131" t="s">
        <v>86</v>
      </c>
      <c r="D77" s="263" t="s">
        <v>110</v>
      </c>
      <c r="E77" s="264"/>
      <c r="F77" s="116" t="s">
        <v>71</v>
      </c>
      <c r="G77" s="116" t="s">
        <v>71</v>
      </c>
      <c r="H77" s="116" t="s">
        <v>71</v>
      </c>
      <c r="I77" s="138" t="s">
        <v>71</v>
      </c>
      <c r="J77" s="138" t="s">
        <v>71</v>
      </c>
      <c r="K77" s="117">
        <f>SUM(K78:K84)</f>
        <v>0</v>
      </c>
      <c r="L77" s="118"/>
      <c r="M77" s="117">
        <f>SUM(M78:M84)</f>
        <v>0.31177125000000006</v>
      </c>
      <c r="N77" s="119"/>
      <c r="O77" s="15"/>
      <c r="AI77" s="59"/>
      <c r="AS77" s="69">
        <f>SUM(AJ78:AJ84)</f>
        <v>0</v>
      </c>
      <c r="AT77" s="69">
        <f>SUM(AK78:AK84)</f>
        <v>0</v>
      </c>
      <c r="AU77" s="69">
        <f>SUM(AL78:AL84)</f>
        <v>0</v>
      </c>
    </row>
    <row r="78" spans="1:64" ht="30" customHeight="1">
      <c r="A78" s="110" t="s">
        <v>182</v>
      </c>
      <c r="B78" s="130"/>
      <c r="C78" s="130" t="s">
        <v>284</v>
      </c>
      <c r="D78" s="261" t="s">
        <v>397</v>
      </c>
      <c r="E78" s="262"/>
      <c r="F78" s="111" t="s">
        <v>456</v>
      </c>
      <c r="G78" s="112">
        <v>6.125</v>
      </c>
      <c r="H78" s="134">
        <v>0</v>
      </c>
      <c r="I78" s="137">
        <f aca="true" t="shared" si="96" ref="I78:I84">G78*AO78</f>
        <v>0</v>
      </c>
      <c r="J78" s="137">
        <f aca="true" t="shared" si="97" ref="J78:J84">G78*AP78</f>
        <v>0</v>
      </c>
      <c r="K78" s="112">
        <f aca="true" t="shared" si="98" ref="K78:K84">G78*H78</f>
        <v>0</v>
      </c>
      <c r="L78" s="112">
        <v>0.03</v>
      </c>
      <c r="M78" s="112">
        <f aca="true" t="shared" si="99" ref="M78:M84">G78*L78</f>
        <v>0.18375</v>
      </c>
      <c r="N78" s="113" t="s">
        <v>585</v>
      </c>
      <c r="O78" s="15"/>
      <c r="Z78" s="41">
        <f aca="true" t="shared" si="100" ref="Z78:Z84">IF(AQ78="5",BJ78,0)</f>
        <v>0</v>
      </c>
      <c r="AB78" s="41">
        <f aca="true" t="shared" si="101" ref="AB78:AB84">IF(AQ78="1",BH78,0)</f>
        <v>0</v>
      </c>
      <c r="AC78" s="41">
        <f aca="true" t="shared" si="102" ref="AC78:AC84">IF(AQ78="1",BI78,0)</f>
        <v>0</v>
      </c>
      <c r="AD78" s="41">
        <f aca="true" t="shared" si="103" ref="AD78:AD84">IF(AQ78="7",BH78,0)</f>
        <v>0</v>
      </c>
      <c r="AE78" s="41">
        <f aca="true" t="shared" si="104" ref="AE78:AE84">IF(AQ78="7",BI78,0)</f>
        <v>0</v>
      </c>
      <c r="AF78" s="41">
        <f aca="true" t="shared" si="105" ref="AF78:AF84">IF(AQ78="2",BH78,0)</f>
        <v>0</v>
      </c>
      <c r="AG78" s="41">
        <f aca="true" t="shared" si="106" ref="AG78:AG84">IF(AQ78="2",BI78,0)</f>
        <v>0</v>
      </c>
      <c r="AH78" s="41">
        <f aca="true" t="shared" si="107" ref="AH78:AH84">IF(AQ78="0",BJ78,0)</f>
        <v>0</v>
      </c>
      <c r="AI78" s="59"/>
      <c r="AJ78" s="54">
        <f aca="true" t="shared" si="108" ref="AJ78:AJ84">IF(AN78=0,K78,0)</f>
        <v>0</v>
      </c>
      <c r="AK78" s="54">
        <f aca="true" t="shared" si="109" ref="AK78:AK84">IF(AN78=15,K78,0)</f>
        <v>0</v>
      </c>
      <c r="AL78" s="54">
        <f aca="true" t="shared" si="110" ref="AL78:AL84">IF(AN78=21,K78,0)</f>
        <v>0</v>
      </c>
      <c r="AN78" s="41">
        <v>21</v>
      </c>
      <c r="AO78" s="41">
        <f>H78*0</f>
        <v>0</v>
      </c>
      <c r="AP78" s="41">
        <f>H78*(1-0)</f>
        <v>0</v>
      </c>
      <c r="AQ78" s="64" t="s">
        <v>137</v>
      </c>
      <c r="AV78" s="41">
        <f aca="true" t="shared" si="111" ref="AV78:AV84">AW78+AX78</f>
        <v>0</v>
      </c>
      <c r="AW78" s="41">
        <f aca="true" t="shared" si="112" ref="AW78:AW84">G78*AO78</f>
        <v>0</v>
      </c>
      <c r="AX78" s="41">
        <f aca="true" t="shared" si="113" ref="AX78:AX84">G78*AP78</f>
        <v>0</v>
      </c>
      <c r="AY78" s="66" t="s">
        <v>494</v>
      </c>
      <c r="AZ78" s="66" t="s">
        <v>510</v>
      </c>
      <c r="BA78" s="59" t="s">
        <v>512</v>
      </c>
      <c r="BC78" s="41">
        <f aca="true" t="shared" si="114" ref="BC78:BC84">AW78+AX78</f>
        <v>0</v>
      </c>
      <c r="BD78" s="41">
        <f aca="true" t="shared" si="115" ref="BD78:BD84">H78/(100-BE78)*100</f>
        <v>0</v>
      </c>
      <c r="BE78" s="41">
        <v>0</v>
      </c>
      <c r="BF78" s="41">
        <f aca="true" t="shared" si="116" ref="BF78:BF84">M78</f>
        <v>0.18375</v>
      </c>
      <c r="BH78" s="54">
        <f aca="true" t="shared" si="117" ref="BH78:BH84">G78*AO78</f>
        <v>0</v>
      </c>
      <c r="BI78" s="54">
        <f aca="true" t="shared" si="118" ref="BI78:BI84">G78*AP78</f>
        <v>0</v>
      </c>
      <c r="BJ78" s="54">
        <f aca="true" t="shared" si="119" ref="BJ78:BJ84">G78*H78</f>
        <v>0</v>
      </c>
      <c r="BK78" s="54" t="s">
        <v>517</v>
      </c>
      <c r="BL78" s="41">
        <v>781</v>
      </c>
    </row>
    <row r="79" spans="1:64" ht="30" customHeight="1">
      <c r="A79" s="110" t="s">
        <v>183</v>
      </c>
      <c r="B79" s="130"/>
      <c r="C79" s="130" t="s">
        <v>285</v>
      </c>
      <c r="D79" s="261" t="s">
        <v>398</v>
      </c>
      <c r="E79" s="262"/>
      <c r="F79" s="111" t="s">
        <v>456</v>
      </c>
      <c r="G79" s="112">
        <v>6.125</v>
      </c>
      <c r="H79" s="134">
        <v>0</v>
      </c>
      <c r="I79" s="137">
        <f t="shared" si="96"/>
        <v>0</v>
      </c>
      <c r="J79" s="137">
        <f t="shared" si="97"/>
        <v>0</v>
      </c>
      <c r="K79" s="112">
        <f t="shared" si="98"/>
        <v>0</v>
      </c>
      <c r="L79" s="112">
        <v>0.00016</v>
      </c>
      <c r="M79" s="112">
        <f t="shared" si="99"/>
        <v>0.0009800000000000002</v>
      </c>
      <c r="N79" s="113" t="s">
        <v>585</v>
      </c>
      <c r="O79" s="15"/>
      <c r="Z79" s="41">
        <f t="shared" si="100"/>
        <v>0</v>
      </c>
      <c r="AB79" s="41">
        <f t="shared" si="101"/>
        <v>0</v>
      </c>
      <c r="AC79" s="41">
        <f t="shared" si="102"/>
        <v>0</v>
      </c>
      <c r="AD79" s="41">
        <f t="shared" si="103"/>
        <v>0</v>
      </c>
      <c r="AE79" s="41">
        <f t="shared" si="104"/>
        <v>0</v>
      </c>
      <c r="AF79" s="41">
        <f t="shared" si="105"/>
        <v>0</v>
      </c>
      <c r="AG79" s="41">
        <f t="shared" si="106"/>
        <v>0</v>
      </c>
      <c r="AH79" s="41">
        <f t="shared" si="107"/>
        <v>0</v>
      </c>
      <c r="AI79" s="59"/>
      <c r="AJ79" s="54">
        <f t="shared" si="108"/>
        <v>0</v>
      </c>
      <c r="AK79" s="54">
        <f t="shared" si="109"/>
        <v>0</v>
      </c>
      <c r="AL79" s="54">
        <f t="shared" si="110"/>
        <v>0</v>
      </c>
      <c r="AN79" s="41">
        <v>21</v>
      </c>
      <c r="AO79" s="41">
        <f>H79*0.425831380426292</f>
        <v>0</v>
      </c>
      <c r="AP79" s="41">
        <f>H79*(1-0.425831380426292)</f>
        <v>0</v>
      </c>
      <c r="AQ79" s="64" t="s">
        <v>137</v>
      </c>
      <c r="AV79" s="41">
        <f t="shared" si="111"/>
        <v>0</v>
      </c>
      <c r="AW79" s="41">
        <f t="shared" si="112"/>
        <v>0</v>
      </c>
      <c r="AX79" s="41">
        <f t="shared" si="113"/>
        <v>0</v>
      </c>
      <c r="AY79" s="66" t="s">
        <v>494</v>
      </c>
      <c r="AZ79" s="66" t="s">
        <v>510</v>
      </c>
      <c r="BA79" s="59" t="s">
        <v>512</v>
      </c>
      <c r="BC79" s="41">
        <f t="shared" si="114"/>
        <v>0</v>
      </c>
      <c r="BD79" s="41">
        <f t="shared" si="115"/>
        <v>0</v>
      </c>
      <c r="BE79" s="41">
        <v>0</v>
      </c>
      <c r="BF79" s="41">
        <f t="shared" si="116"/>
        <v>0.0009800000000000002</v>
      </c>
      <c r="BH79" s="54">
        <f t="shared" si="117"/>
        <v>0</v>
      </c>
      <c r="BI79" s="54">
        <f t="shared" si="118"/>
        <v>0</v>
      </c>
      <c r="BJ79" s="54">
        <f t="shared" si="119"/>
        <v>0</v>
      </c>
      <c r="BK79" s="54" t="s">
        <v>517</v>
      </c>
      <c r="BL79" s="41">
        <v>781</v>
      </c>
    </row>
    <row r="80" spans="1:64" ht="30" customHeight="1">
      <c r="A80" s="110" t="s">
        <v>184</v>
      </c>
      <c r="B80" s="130"/>
      <c r="C80" s="130" t="s">
        <v>286</v>
      </c>
      <c r="D80" s="261" t="s">
        <v>399</v>
      </c>
      <c r="E80" s="262"/>
      <c r="F80" s="111" t="s">
        <v>458</v>
      </c>
      <c r="G80" s="112">
        <v>15</v>
      </c>
      <c r="H80" s="134">
        <v>0</v>
      </c>
      <c r="I80" s="137">
        <f t="shared" si="96"/>
        <v>0</v>
      </c>
      <c r="J80" s="137">
        <f t="shared" si="97"/>
        <v>0</v>
      </c>
      <c r="K80" s="112">
        <f t="shared" si="98"/>
        <v>0</v>
      </c>
      <c r="L80" s="112">
        <v>0</v>
      </c>
      <c r="M80" s="112">
        <f t="shared" si="99"/>
        <v>0</v>
      </c>
      <c r="N80" s="113" t="s">
        <v>585</v>
      </c>
      <c r="O80" s="15"/>
      <c r="Z80" s="41">
        <f t="shared" si="100"/>
        <v>0</v>
      </c>
      <c r="AB80" s="41">
        <f t="shared" si="101"/>
        <v>0</v>
      </c>
      <c r="AC80" s="41">
        <f t="shared" si="102"/>
        <v>0</v>
      </c>
      <c r="AD80" s="41">
        <f t="shared" si="103"/>
        <v>0</v>
      </c>
      <c r="AE80" s="41">
        <f t="shared" si="104"/>
        <v>0</v>
      </c>
      <c r="AF80" s="41">
        <f t="shared" si="105"/>
        <v>0</v>
      </c>
      <c r="AG80" s="41">
        <f t="shared" si="106"/>
        <v>0</v>
      </c>
      <c r="AH80" s="41">
        <f t="shared" si="107"/>
        <v>0</v>
      </c>
      <c r="AI80" s="59"/>
      <c r="AJ80" s="54">
        <f t="shared" si="108"/>
        <v>0</v>
      </c>
      <c r="AK80" s="54">
        <f t="shared" si="109"/>
        <v>0</v>
      </c>
      <c r="AL80" s="54">
        <f t="shared" si="110"/>
        <v>0</v>
      </c>
      <c r="AN80" s="41">
        <v>21</v>
      </c>
      <c r="AO80" s="41">
        <f>H80*0.0644182124789207</f>
        <v>0</v>
      </c>
      <c r="AP80" s="41">
        <f>H80*(1-0.0644182124789207)</f>
        <v>0</v>
      </c>
      <c r="AQ80" s="64" t="s">
        <v>137</v>
      </c>
      <c r="AV80" s="41">
        <f t="shared" si="111"/>
        <v>0</v>
      </c>
      <c r="AW80" s="41">
        <f t="shared" si="112"/>
        <v>0</v>
      </c>
      <c r="AX80" s="41">
        <f t="shared" si="113"/>
        <v>0</v>
      </c>
      <c r="AY80" s="66" t="s">
        <v>494</v>
      </c>
      <c r="AZ80" s="66" t="s">
        <v>510</v>
      </c>
      <c r="BA80" s="59" t="s">
        <v>512</v>
      </c>
      <c r="BC80" s="41">
        <f t="shared" si="114"/>
        <v>0</v>
      </c>
      <c r="BD80" s="41">
        <f t="shared" si="115"/>
        <v>0</v>
      </c>
      <c r="BE80" s="41">
        <v>0</v>
      </c>
      <c r="BF80" s="41">
        <f t="shared" si="116"/>
        <v>0</v>
      </c>
      <c r="BH80" s="54">
        <f t="shared" si="117"/>
        <v>0</v>
      </c>
      <c r="BI80" s="54">
        <f t="shared" si="118"/>
        <v>0</v>
      </c>
      <c r="BJ80" s="54">
        <f t="shared" si="119"/>
        <v>0</v>
      </c>
      <c r="BK80" s="54" t="s">
        <v>517</v>
      </c>
      <c r="BL80" s="41">
        <v>781</v>
      </c>
    </row>
    <row r="81" spans="1:64" ht="30" customHeight="1">
      <c r="A81" s="110" t="s">
        <v>185</v>
      </c>
      <c r="B81" s="130"/>
      <c r="C81" s="130" t="s">
        <v>287</v>
      </c>
      <c r="D81" s="261" t="s">
        <v>400</v>
      </c>
      <c r="E81" s="262"/>
      <c r="F81" s="111" t="s">
        <v>457</v>
      </c>
      <c r="G81" s="112">
        <v>5.25</v>
      </c>
      <c r="H81" s="134">
        <v>0</v>
      </c>
      <c r="I81" s="137">
        <f t="shared" si="96"/>
        <v>0</v>
      </c>
      <c r="J81" s="137">
        <f t="shared" si="97"/>
        <v>0</v>
      </c>
      <c r="K81" s="112">
        <f t="shared" si="98"/>
        <v>0</v>
      </c>
      <c r="L81" s="112">
        <v>0.00013</v>
      </c>
      <c r="M81" s="112">
        <f t="shared" si="99"/>
        <v>0.0006825</v>
      </c>
      <c r="N81" s="113" t="s">
        <v>585</v>
      </c>
      <c r="O81" s="15"/>
      <c r="Z81" s="41">
        <f t="shared" si="100"/>
        <v>0</v>
      </c>
      <c r="AB81" s="41">
        <f t="shared" si="101"/>
        <v>0</v>
      </c>
      <c r="AC81" s="41">
        <f t="shared" si="102"/>
        <v>0</v>
      </c>
      <c r="AD81" s="41">
        <f t="shared" si="103"/>
        <v>0</v>
      </c>
      <c r="AE81" s="41">
        <f t="shared" si="104"/>
        <v>0</v>
      </c>
      <c r="AF81" s="41">
        <f t="shared" si="105"/>
        <v>0</v>
      </c>
      <c r="AG81" s="41">
        <f t="shared" si="106"/>
        <v>0</v>
      </c>
      <c r="AH81" s="41">
        <f t="shared" si="107"/>
        <v>0</v>
      </c>
      <c r="AI81" s="59"/>
      <c r="AJ81" s="54">
        <f t="shared" si="108"/>
        <v>0</v>
      </c>
      <c r="AK81" s="54">
        <f t="shared" si="109"/>
        <v>0</v>
      </c>
      <c r="AL81" s="54">
        <f t="shared" si="110"/>
        <v>0</v>
      </c>
      <c r="AN81" s="41">
        <v>21</v>
      </c>
      <c r="AO81" s="41">
        <f>H81*0.7659933094103</f>
        <v>0</v>
      </c>
      <c r="AP81" s="41">
        <f>H81*(1-0.7659933094103)</f>
        <v>0</v>
      </c>
      <c r="AQ81" s="64" t="s">
        <v>137</v>
      </c>
      <c r="AV81" s="41">
        <f t="shared" si="111"/>
        <v>0</v>
      </c>
      <c r="AW81" s="41">
        <f t="shared" si="112"/>
        <v>0</v>
      </c>
      <c r="AX81" s="41">
        <f t="shared" si="113"/>
        <v>0</v>
      </c>
      <c r="AY81" s="66" t="s">
        <v>494</v>
      </c>
      <c r="AZ81" s="66" t="s">
        <v>510</v>
      </c>
      <c r="BA81" s="59" t="s">
        <v>512</v>
      </c>
      <c r="BC81" s="41">
        <f t="shared" si="114"/>
        <v>0</v>
      </c>
      <c r="BD81" s="41">
        <f t="shared" si="115"/>
        <v>0</v>
      </c>
      <c r="BE81" s="41">
        <v>0</v>
      </c>
      <c r="BF81" s="41">
        <f t="shared" si="116"/>
        <v>0.0006825</v>
      </c>
      <c r="BH81" s="54">
        <f t="shared" si="117"/>
        <v>0</v>
      </c>
      <c r="BI81" s="54">
        <f t="shared" si="118"/>
        <v>0</v>
      </c>
      <c r="BJ81" s="54">
        <f t="shared" si="119"/>
        <v>0</v>
      </c>
      <c r="BK81" s="54" t="s">
        <v>517</v>
      </c>
      <c r="BL81" s="41">
        <v>781</v>
      </c>
    </row>
    <row r="82" spans="1:64" ht="30" customHeight="1">
      <c r="A82" s="110" t="s">
        <v>186</v>
      </c>
      <c r="B82" s="130"/>
      <c r="C82" s="130" t="s">
        <v>288</v>
      </c>
      <c r="D82" s="261" t="s">
        <v>401</v>
      </c>
      <c r="E82" s="262"/>
      <c r="F82" s="111" t="s">
        <v>456</v>
      </c>
      <c r="G82" s="112">
        <v>6.125</v>
      </c>
      <c r="H82" s="134">
        <v>0</v>
      </c>
      <c r="I82" s="137">
        <f t="shared" si="96"/>
        <v>0</v>
      </c>
      <c r="J82" s="137">
        <f t="shared" si="97"/>
        <v>0</v>
      </c>
      <c r="K82" s="112">
        <f t="shared" si="98"/>
        <v>0</v>
      </c>
      <c r="L82" s="112">
        <v>0.00419</v>
      </c>
      <c r="M82" s="112">
        <f t="shared" si="99"/>
        <v>0.025663750000000003</v>
      </c>
      <c r="N82" s="113" t="s">
        <v>585</v>
      </c>
      <c r="O82" s="15"/>
      <c r="Z82" s="41">
        <f t="shared" si="100"/>
        <v>0</v>
      </c>
      <c r="AB82" s="41">
        <f t="shared" si="101"/>
        <v>0</v>
      </c>
      <c r="AC82" s="41">
        <f t="shared" si="102"/>
        <v>0</v>
      </c>
      <c r="AD82" s="41">
        <f t="shared" si="103"/>
        <v>0</v>
      </c>
      <c r="AE82" s="41">
        <f t="shared" si="104"/>
        <v>0</v>
      </c>
      <c r="AF82" s="41">
        <f t="shared" si="105"/>
        <v>0</v>
      </c>
      <c r="AG82" s="41">
        <f t="shared" si="106"/>
        <v>0</v>
      </c>
      <c r="AH82" s="41">
        <f t="shared" si="107"/>
        <v>0</v>
      </c>
      <c r="AI82" s="59"/>
      <c r="AJ82" s="54">
        <f t="shared" si="108"/>
        <v>0</v>
      </c>
      <c r="AK82" s="54">
        <f t="shared" si="109"/>
        <v>0</v>
      </c>
      <c r="AL82" s="54">
        <f t="shared" si="110"/>
        <v>0</v>
      </c>
      <c r="AN82" s="41">
        <v>21</v>
      </c>
      <c r="AO82" s="41">
        <f>H82*0.33271978021978</f>
        <v>0</v>
      </c>
      <c r="AP82" s="41">
        <f>H82*(1-0.33271978021978)</f>
        <v>0</v>
      </c>
      <c r="AQ82" s="64" t="s">
        <v>137</v>
      </c>
      <c r="AV82" s="41">
        <f t="shared" si="111"/>
        <v>0</v>
      </c>
      <c r="AW82" s="41">
        <f t="shared" si="112"/>
        <v>0</v>
      </c>
      <c r="AX82" s="41">
        <f t="shared" si="113"/>
        <v>0</v>
      </c>
      <c r="AY82" s="66" t="s">
        <v>494</v>
      </c>
      <c r="AZ82" s="66" t="s">
        <v>510</v>
      </c>
      <c r="BA82" s="59" t="s">
        <v>512</v>
      </c>
      <c r="BC82" s="41">
        <f t="shared" si="114"/>
        <v>0</v>
      </c>
      <c r="BD82" s="41">
        <f t="shared" si="115"/>
        <v>0</v>
      </c>
      <c r="BE82" s="41">
        <v>0</v>
      </c>
      <c r="BF82" s="41">
        <f t="shared" si="116"/>
        <v>0.025663750000000003</v>
      </c>
      <c r="BH82" s="54">
        <f t="shared" si="117"/>
        <v>0</v>
      </c>
      <c r="BI82" s="54">
        <f t="shared" si="118"/>
        <v>0</v>
      </c>
      <c r="BJ82" s="54">
        <f t="shared" si="119"/>
        <v>0</v>
      </c>
      <c r="BK82" s="54" t="s">
        <v>517</v>
      </c>
      <c r="BL82" s="41">
        <v>781</v>
      </c>
    </row>
    <row r="83" spans="1:64" ht="30" customHeight="1">
      <c r="A83" s="110" t="s">
        <v>187</v>
      </c>
      <c r="B83" s="130"/>
      <c r="C83" s="130" t="s">
        <v>289</v>
      </c>
      <c r="D83" s="261" t="s">
        <v>402</v>
      </c>
      <c r="E83" s="262"/>
      <c r="F83" s="111" t="s">
        <v>456</v>
      </c>
      <c r="G83" s="112">
        <v>6.125</v>
      </c>
      <c r="H83" s="134">
        <v>0</v>
      </c>
      <c r="I83" s="137">
        <f t="shared" si="96"/>
        <v>0</v>
      </c>
      <c r="J83" s="137">
        <f t="shared" si="97"/>
        <v>0</v>
      </c>
      <c r="K83" s="112">
        <f t="shared" si="98"/>
        <v>0</v>
      </c>
      <c r="L83" s="112">
        <v>0.0006</v>
      </c>
      <c r="M83" s="112">
        <f t="shared" si="99"/>
        <v>0.003675</v>
      </c>
      <c r="N83" s="113" t="s">
        <v>585</v>
      </c>
      <c r="O83" s="15"/>
      <c r="Z83" s="41">
        <f t="shared" si="100"/>
        <v>0</v>
      </c>
      <c r="AB83" s="41">
        <f t="shared" si="101"/>
        <v>0</v>
      </c>
      <c r="AC83" s="41">
        <f t="shared" si="102"/>
        <v>0</v>
      </c>
      <c r="AD83" s="41">
        <f t="shared" si="103"/>
        <v>0</v>
      </c>
      <c r="AE83" s="41">
        <f t="shared" si="104"/>
        <v>0</v>
      </c>
      <c r="AF83" s="41">
        <f t="shared" si="105"/>
        <v>0</v>
      </c>
      <c r="AG83" s="41">
        <f t="shared" si="106"/>
        <v>0</v>
      </c>
      <c r="AH83" s="41">
        <f t="shared" si="107"/>
        <v>0</v>
      </c>
      <c r="AI83" s="59"/>
      <c r="AJ83" s="54">
        <f t="shared" si="108"/>
        <v>0</v>
      </c>
      <c r="AK83" s="54">
        <f t="shared" si="109"/>
        <v>0</v>
      </c>
      <c r="AL83" s="54">
        <f t="shared" si="110"/>
        <v>0</v>
      </c>
      <c r="AN83" s="41">
        <v>21</v>
      </c>
      <c r="AO83" s="41">
        <f>H83*1</f>
        <v>0</v>
      </c>
      <c r="AP83" s="41">
        <f>H83*(1-1)</f>
        <v>0</v>
      </c>
      <c r="AQ83" s="64" t="s">
        <v>137</v>
      </c>
      <c r="AV83" s="41">
        <f t="shared" si="111"/>
        <v>0</v>
      </c>
      <c r="AW83" s="41">
        <f t="shared" si="112"/>
        <v>0</v>
      </c>
      <c r="AX83" s="41">
        <f t="shared" si="113"/>
        <v>0</v>
      </c>
      <c r="AY83" s="66" t="s">
        <v>494</v>
      </c>
      <c r="AZ83" s="66" t="s">
        <v>510</v>
      </c>
      <c r="BA83" s="59" t="s">
        <v>512</v>
      </c>
      <c r="BC83" s="41">
        <f t="shared" si="114"/>
        <v>0</v>
      </c>
      <c r="BD83" s="41">
        <f t="shared" si="115"/>
        <v>0</v>
      </c>
      <c r="BE83" s="41">
        <v>0</v>
      </c>
      <c r="BF83" s="41">
        <f t="shared" si="116"/>
        <v>0.003675</v>
      </c>
      <c r="BH83" s="54">
        <f t="shared" si="117"/>
        <v>0</v>
      </c>
      <c r="BI83" s="54">
        <f t="shared" si="118"/>
        <v>0</v>
      </c>
      <c r="BJ83" s="54">
        <f t="shared" si="119"/>
        <v>0</v>
      </c>
      <c r="BK83" s="54" t="s">
        <v>517</v>
      </c>
      <c r="BL83" s="41">
        <v>781</v>
      </c>
    </row>
    <row r="84" spans="1:64" ht="30" customHeight="1">
      <c r="A84" s="120" t="s">
        <v>188</v>
      </c>
      <c r="B84" s="132"/>
      <c r="C84" s="132" t="s">
        <v>290</v>
      </c>
      <c r="D84" s="265" t="s">
        <v>403</v>
      </c>
      <c r="E84" s="266"/>
      <c r="F84" s="121" t="s">
        <v>456</v>
      </c>
      <c r="G84" s="122">
        <v>7.7</v>
      </c>
      <c r="H84" s="135">
        <v>0</v>
      </c>
      <c r="I84" s="137">
        <f t="shared" si="96"/>
        <v>0</v>
      </c>
      <c r="J84" s="137">
        <f t="shared" si="97"/>
        <v>0</v>
      </c>
      <c r="K84" s="122">
        <f t="shared" si="98"/>
        <v>0</v>
      </c>
      <c r="L84" s="122">
        <v>0.0126</v>
      </c>
      <c r="M84" s="122">
        <f t="shared" si="99"/>
        <v>0.09702000000000001</v>
      </c>
      <c r="N84" s="113" t="s">
        <v>585</v>
      </c>
      <c r="O84" s="15"/>
      <c r="Z84" s="41">
        <f t="shared" si="100"/>
        <v>0</v>
      </c>
      <c r="AB84" s="41">
        <f t="shared" si="101"/>
        <v>0</v>
      </c>
      <c r="AC84" s="41">
        <f t="shared" si="102"/>
        <v>0</v>
      </c>
      <c r="AD84" s="41">
        <f t="shared" si="103"/>
        <v>0</v>
      </c>
      <c r="AE84" s="41">
        <f t="shared" si="104"/>
        <v>0</v>
      </c>
      <c r="AF84" s="41">
        <f t="shared" si="105"/>
        <v>0</v>
      </c>
      <c r="AG84" s="41">
        <f t="shared" si="106"/>
        <v>0</v>
      </c>
      <c r="AH84" s="41">
        <f t="shared" si="107"/>
        <v>0</v>
      </c>
      <c r="AI84" s="59"/>
      <c r="AJ84" s="55">
        <f t="shared" si="108"/>
        <v>0</v>
      </c>
      <c r="AK84" s="55">
        <f t="shared" si="109"/>
        <v>0</v>
      </c>
      <c r="AL84" s="55">
        <f t="shared" si="110"/>
        <v>0</v>
      </c>
      <c r="AN84" s="41">
        <v>21</v>
      </c>
      <c r="AO84" s="41">
        <f>H84*1</f>
        <v>0</v>
      </c>
      <c r="AP84" s="41">
        <f>H84*(1-1)</f>
        <v>0</v>
      </c>
      <c r="AQ84" s="65" t="s">
        <v>137</v>
      </c>
      <c r="AV84" s="41">
        <f t="shared" si="111"/>
        <v>0</v>
      </c>
      <c r="AW84" s="41">
        <f t="shared" si="112"/>
        <v>0</v>
      </c>
      <c r="AX84" s="41">
        <f t="shared" si="113"/>
        <v>0</v>
      </c>
      <c r="AY84" s="66" t="s">
        <v>494</v>
      </c>
      <c r="AZ84" s="66" t="s">
        <v>510</v>
      </c>
      <c r="BA84" s="59" t="s">
        <v>512</v>
      </c>
      <c r="BC84" s="41">
        <f t="shared" si="114"/>
        <v>0</v>
      </c>
      <c r="BD84" s="41">
        <f t="shared" si="115"/>
        <v>0</v>
      </c>
      <c r="BE84" s="41">
        <v>0</v>
      </c>
      <c r="BF84" s="41">
        <f t="shared" si="116"/>
        <v>0.09702000000000001</v>
      </c>
      <c r="BH84" s="55">
        <f t="shared" si="117"/>
        <v>0</v>
      </c>
      <c r="BI84" s="55">
        <f t="shared" si="118"/>
        <v>0</v>
      </c>
      <c r="BJ84" s="55">
        <f t="shared" si="119"/>
        <v>0</v>
      </c>
      <c r="BK84" s="55" t="s">
        <v>518</v>
      </c>
      <c r="BL84" s="41">
        <v>781</v>
      </c>
    </row>
    <row r="85" spans="1:47" ht="30" customHeight="1">
      <c r="A85" s="114"/>
      <c r="B85" s="131"/>
      <c r="C85" s="131" t="s">
        <v>87</v>
      </c>
      <c r="D85" s="263" t="s">
        <v>111</v>
      </c>
      <c r="E85" s="264"/>
      <c r="F85" s="116" t="s">
        <v>71</v>
      </c>
      <c r="G85" s="116" t="s">
        <v>71</v>
      </c>
      <c r="H85" s="116" t="s">
        <v>71</v>
      </c>
      <c r="I85" s="138" t="s">
        <v>71</v>
      </c>
      <c r="J85" s="138" t="s">
        <v>71</v>
      </c>
      <c r="K85" s="117">
        <f>SUM(K86:K88)</f>
        <v>0</v>
      </c>
      <c r="L85" s="118"/>
      <c r="M85" s="117">
        <f>SUM(M86:M88)</f>
        <v>0.0111208</v>
      </c>
      <c r="N85" s="119"/>
      <c r="O85" s="15"/>
      <c r="AI85" s="59"/>
      <c r="AS85" s="69">
        <f>SUM(AJ86:AJ88)</f>
        <v>0</v>
      </c>
      <c r="AT85" s="69">
        <f>SUM(AK86:AK88)</f>
        <v>0</v>
      </c>
      <c r="AU85" s="69">
        <f>SUM(AL86:AL88)</f>
        <v>0</v>
      </c>
    </row>
    <row r="86" spans="1:64" ht="30" customHeight="1">
      <c r="A86" s="110" t="s">
        <v>189</v>
      </c>
      <c r="B86" s="130"/>
      <c r="C86" s="130" t="s">
        <v>291</v>
      </c>
      <c r="D86" s="261" t="s">
        <v>404</v>
      </c>
      <c r="E86" s="262"/>
      <c r="F86" s="111" t="s">
        <v>460</v>
      </c>
      <c r="G86" s="112">
        <v>2</v>
      </c>
      <c r="H86" s="134">
        <v>0</v>
      </c>
      <c r="I86" s="137">
        <f>G86*AO86</f>
        <v>0</v>
      </c>
      <c r="J86" s="137">
        <f>G86*AP86</f>
        <v>0</v>
      </c>
      <c r="K86" s="112">
        <f>G86*H86</f>
        <v>0</v>
      </c>
      <c r="L86" s="112">
        <v>0.00038</v>
      </c>
      <c r="M86" s="112">
        <f>G86*L86</f>
        <v>0.00076</v>
      </c>
      <c r="N86" s="113" t="s">
        <v>585</v>
      </c>
      <c r="O86" s="15"/>
      <c r="Z86" s="41">
        <f>IF(AQ86="5",BJ86,0)</f>
        <v>0</v>
      </c>
      <c r="AB86" s="41">
        <f>IF(AQ86="1",BH86,0)</f>
        <v>0</v>
      </c>
      <c r="AC86" s="41">
        <f>IF(AQ86="1",BI86,0)</f>
        <v>0</v>
      </c>
      <c r="AD86" s="41">
        <f>IF(AQ86="7",BH86,0)</f>
        <v>0</v>
      </c>
      <c r="AE86" s="41">
        <f>IF(AQ86="7",BI86,0)</f>
        <v>0</v>
      </c>
      <c r="AF86" s="41">
        <f>IF(AQ86="2",BH86,0)</f>
        <v>0</v>
      </c>
      <c r="AG86" s="41">
        <f>IF(AQ86="2",BI86,0)</f>
        <v>0</v>
      </c>
      <c r="AH86" s="41">
        <f>IF(AQ86="0",BJ86,0)</f>
        <v>0</v>
      </c>
      <c r="AI86" s="59"/>
      <c r="AJ86" s="54">
        <f>IF(AN86=0,K86,0)</f>
        <v>0</v>
      </c>
      <c r="AK86" s="54">
        <f>IF(AN86=15,K86,0)</f>
        <v>0</v>
      </c>
      <c r="AL86" s="54">
        <f>IF(AN86=21,K86,0)</f>
        <v>0</v>
      </c>
      <c r="AN86" s="41">
        <v>21</v>
      </c>
      <c r="AO86" s="41">
        <f>H86*0.157068062827225</f>
        <v>0</v>
      </c>
      <c r="AP86" s="41">
        <f>H86*(1-0.157068062827225)</f>
        <v>0</v>
      </c>
      <c r="AQ86" s="64" t="s">
        <v>137</v>
      </c>
      <c r="AV86" s="41">
        <f>AW86+AX86</f>
        <v>0</v>
      </c>
      <c r="AW86" s="41">
        <f>G86*AO86</f>
        <v>0</v>
      </c>
      <c r="AX86" s="41">
        <f>G86*AP86</f>
        <v>0</v>
      </c>
      <c r="AY86" s="66" t="s">
        <v>495</v>
      </c>
      <c r="AZ86" s="66" t="s">
        <v>510</v>
      </c>
      <c r="BA86" s="59" t="s">
        <v>512</v>
      </c>
      <c r="BC86" s="41">
        <f>AW86+AX86</f>
        <v>0</v>
      </c>
      <c r="BD86" s="41">
        <f>H86/(100-BE86)*100</f>
        <v>0</v>
      </c>
      <c r="BE86" s="41">
        <v>0</v>
      </c>
      <c r="BF86" s="41">
        <f>M86</f>
        <v>0.00076</v>
      </c>
      <c r="BH86" s="54">
        <f>G86*AO86</f>
        <v>0</v>
      </c>
      <c r="BI86" s="54">
        <f>G86*AP86</f>
        <v>0</v>
      </c>
      <c r="BJ86" s="54">
        <f>G86*H86</f>
        <v>0</v>
      </c>
      <c r="BK86" s="54" t="s">
        <v>517</v>
      </c>
      <c r="BL86" s="41">
        <v>783</v>
      </c>
    </row>
    <row r="87" spans="1:64" ht="30" customHeight="1">
      <c r="A87" s="110" t="s">
        <v>75</v>
      </c>
      <c r="B87" s="130"/>
      <c r="C87" s="130" t="s">
        <v>292</v>
      </c>
      <c r="D87" s="261" t="s">
        <v>405</v>
      </c>
      <c r="E87" s="262"/>
      <c r="F87" s="111" t="s">
        <v>456</v>
      </c>
      <c r="G87" s="112">
        <v>13.68</v>
      </c>
      <c r="H87" s="134">
        <v>0</v>
      </c>
      <c r="I87" s="137">
        <f>G87*AO87</f>
        <v>0</v>
      </c>
      <c r="J87" s="137">
        <f>G87*AP87</f>
        <v>0</v>
      </c>
      <c r="K87" s="112">
        <f>G87*H87</f>
        <v>0</v>
      </c>
      <c r="L87" s="112">
        <v>0.00056</v>
      </c>
      <c r="M87" s="112">
        <f>G87*L87</f>
        <v>0.007660799999999999</v>
      </c>
      <c r="N87" s="113" t="s">
        <v>585</v>
      </c>
      <c r="O87" s="15"/>
      <c r="Z87" s="41">
        <f>IF(AQ87="5",BJ87,0)</f>
        <v>0</v>
      </c>
      <c r="AB87" s="41">
        <f>IF(AQ87="1",BH87,0)</f>
        <v>0</v>
      </c>
      <c r="AC87" s="41">
        <f>IF(AQ87="1",BI87,0)</f>
        <v>0</v>
      </c>
      <c r="AD87" s="41">
        <f>IF(AQ87="7",BH87,0)</f>
        <v>0</v>
      </c>
      <c r="AE87" s="41">
        <f>IF(AQ87="7",BI87,0)</f>
        <v>0</v>
      </c>
      <c r="AF87" s="41">
        <f>IF(AQ87="2",BH87,0)</f>
        <v>0</v>
      </c>
      <c r="AG87" s="41">
        <f>IF(AQ87="2",BI87,0)</f>
        <v>0</v>
      </c>
      <c r="AH87" s="41">
        <f>IF(AQ87="0",BJ87,0)</f>
        <v>0</v>
      </c>
      <c r="AI87" s="59"/>
      <c r="AJ87" s="54">
        <f>IF(AN87=0,K87,0)</f>
        <v>0</v>
      </c>
      <c r="AK87" s="54">
        <f>IF(AN87=15,K87,0)</f>
        <v>0</v>
      </c>
      <c r="AL87" s="54">
        <f>IF(AN87=21,K87,0)</f>
        <v>0</v>
      </c>
      <c r="AN87" s="41">
        <v>21</v>
      </c>
      <c r="AO87" s="41">
        <f>H87*0.510534482758621</f>
        <v>0</v>
      </c>
      <c r="AP87" s="41">
        <f>H87*(1-0.510534482758621)</f>
        <v>0</v>
      </c>
      <c r="AQ87" s="64" t="s">
        <v>137</v>
      </c>
      <c r="AV87" s="41">
        <f>AW87+AX87</f>
        <v>0</v>
      </c>
      <c r="AW87" s="41">
        <f>G87*AO87</f>
        <v>0</v>
      </c>
      <c r="AX87" s="41">
        <f>G87*AP87</f>
        <v>0</v>
      </c>
      <c r="AY87" s="66" t="s">
        <v>495</v>
      </c>
      <c r="AZ87" s="66" t="s">
        <v>510</v>
      </c>
      <c r="BA87" s="59" t="s">
        <v>512</v>
      </c>
      <c r="BC87" s="41">
        <f>AW87+AX87</f>
        <v>0</v>
      </c>
      <c r="BD87" s="41">
        <f>H87/(100-BE87)*100</f>
        <v>0</v>
      </c>
      <c r="BE87" s="41">
        <v>0</v>
      </c>
      <c r="BF87" s="41">
        <f>M87</f>
        <v>0.007660799999999999</v>
      </c>
      <c r="BH87" s="54">
        <f>G87*AO87</f>
        <v>0</v>
      </c>
      <c r="BI87" s="54">
        <f>G87*AP87</f>
        <v>0</v>
      </c>
      <c r="BJ87" s="54">
        <f>G87*H87</f>
        <v>0</v>
      </c>
      <c r="BK87" s="54" t="s">
        <v>517</v>
      </c>
      <c r="BL87" s="41">
        <v>783</v>
      </c>
    </row>
    <row r="88" spans="1:64" ht="30" customHeight="1">
      <c r="A88" s="110" t="s">
        <v>76</v>
      </c>
      <c r="B88" s="130"/>
      <c r="C88" s="130" t="s">
        <v>293</v>
      </c>
      <c r="D88" s="261" t="s">
        <v>406</v>
      </c>
      <c r="E88" s="262"/>
      <c r="F88" s="111" t="s">
        <v>457</v>
      </c>
      <c r="G88" s="112">
        <v>30</v>
      </c>
      <c r="H88" s="134">
        <v>0</v>
      </c>
      <c r="I88" s="137">
        <f>G88*AO88</f>
        <v>0</v>
      </c>
      <c r="J88" s="137">
        <f>G88*AP88</f>
        <v>0</v>
      </c>
      <c r="K88" s="112">
        <f>G88*H88</f>
        <v>0</v>
      </c>
      <c r="L88" s="112">
        <v>9E-05</v>
      </c>
      <c r="M88" s="112">
        <f>G88*L88</f>
        <v>0.0027</v>
      </c>
      <c r="N88" s="113" t="s">
        <v>585</v>
      </c>
      <c r="O88" s="15"/>
      <c r="Z88" s="41">
        <f>IF(AQ88="5",BJ88,0)</f>
        <v>0</v>
      </c>
      <c r="AB88" s="41">
        <f>IF(AQ88="1",BH88,0)</f>
        <v>0</v>
      </c>
      <c r="AC88" s="41">
        <f>IF(AQ88="1",BI88,0)</f>
        <v>0</v>
      </c>
      <c r="AD88" s="41">
        <f>IF(AQ88="7",BH88,0)</f>
        <v>0</v>
      </c>
      <c r="AE88" s="41">
        <f>IF(AQ88="7",BI88,0)</f>
        <v>0</v>
      </c>
      <c r="AF88" s="41">
        <f>IF(AQ88="2",BH88,0)</f>
        <v>0</v>
      </c>
      <c r="AG88" s="41">
        <f>IF(AQ88="2",BI88,0)</f>
        <v>0</v>
      </c>
      <c r="AH88" s="41">
        <f>IF(AQ88="0",BJ88,0)</f>
        <v>0</v>
      </c>
      <c r="AI88" s="59"/>
      <c r="AJ88" s="54">
        <f>IF(AN88=0,K88,0)</f>
        <v>0</v>
      </c>
      <c r="AK88" s="54">
        <f>IF(AN88=15,K88,0)</f>
        <v>0</v>
      </c>
      <c r="AL88" s="54">
        <f>IF(AN88=21,K88,0)</f>
        <v>0</v>
      </c>
      <c r="AN88" s="41">
        <v>21</v>
      </c>
      <c r="AO88" s="41">
        <f>H88*0.212736842105263</f>
        <v>0</v>
      </c>
      <c r="AP88" s="41">
        <f>H88*(1-0.212736842105263)</f>
        <v>0</v>
      </c>
      <c r="AQ88" s="64" t="s">
        <v>137</v>
      </c>
      <c r="AV88" s="41">
        <f>AW88+AX88</f>
        <v>0</v>
      </c>
      <c r="AW88" s="41">
        <f>G88*AO88</f>
        <v>0</v>
      </c>
      <c r="AX88" s="41">
        <f>G88*AP88</f>
        <v>0</v>
      </c>
      <c r="AY88" s="66" t="s">
        <v>495</v>
      </c>
      <c r="AZ88" s="66" t="s">
        <v>510</v>
      </c>
      <c r="BA88" s="59" t="s">
        <v>512</v>
      </c>
      <c r="BC88" s="41">
        <f>AW88+AX88</f>
        <v>0</v>
      </c>
      <c r="BD88" s="41">
        <f>H88/(100-BE88)*100</f>
        <v>0</v>
      </c>
      <c r="BE88" s="41">
        <v>0</v>
      </c>
      <c r="BF88" s="41">
        <f>M88</f>
        <v>0.0027</v>
      </c>
      <c r="BH88" s="54">
        <f>G88*AO88</f>
        <v>0</v>
      </c>
      <c r="BI88" s="54">
        <f>G88*AP88</f>
        <v>0</v>
      </c>
      <c r="BJ88" s="54">
        <f>G88*H88</f>
        <v>0</v>
      </c>
      <c r="BK88" s="54" t="s">
        <v>517</v>
      </c>
      <c r="BL88" s="41">
        <v>783</v>
      </c>
    </row>
    <row r="89" spans="1:47" ht="30" customHeight="1">
      <c r="A89" s="114"/>
      <c r="B89" s="131"/>
      <c r="C89" s="131" t="s">
        <v>88</v>
      </c>
      <c r="D89" s="263" t="s">
        <v>112</v>
      </c>
      <c r="E89" s="264"/>
      <c r="F89" s="116" t="s">
        <v>71</v>
      </c>
      <c r="G89" s="116" t="s">
        <v>71</v>
      </c>
      <c r="H89" s="116" t="s">
        <v>71</v>
      </c>
      <c r="I89" s="138" t="s">
        <v>71</v>
      </c>
      <c r="J89" s="138" t="s">
        <v>71</v>
      </c>
      <c r="K89" s="117">
        <f>SUM(K90:K94)</f>
        <v>0</v>
      </c>
      <c r="L89" s="118"/>
      <c r="M89" s="117">
        <f>SUM(M90:M94)</f>
        <v>0.0682176</v>
      </c>
      <c r="N89" s="119"/>
      <c r="O89" s="15"/>
      <c r="AI89" s="59"/>
      <c r="AS89" s="69">
        <f>SUM(AJ90:AJ94)</f>
        <v>0</v>
      </c>
      <c r="AT89" s="69">
        <f>SUM(AK90:AK94)</f>
        <v>0</v>
      </c>
      <c r="AU89" s="69">
        <f>SUM(AL90:AL94)</f>
        <v>0</v>
      </c>
    </row>
    <row r="90" spans="1:64" ht="30" customHeight="1">
      <c r="A90" s="110" t="s">
        <v>77</v>
      </c>
      <c r="B90" s="130"/>
      <c r="C90" s="130" t="s">
        <v>294</v>
      </c>
      <c r="D90" s="261" t="s">
        <v>407</v>
      </c>
      <c r="E90" s="262"/>
      <c r="F90" s="111" t="s">
        <v>456</v>
      </c>
      <c r="G90" s="112">
        <v>93</v>
      </c>
      <c r="H90" s="134">
        <v>0</v>
      </c>
      <c r="I90" s="137">
        <f>G90*AO90</f>
        <v>0</v>
      </c>
      <c r="J90" s="137">
        <f>G90*AP90</f>
        <v>0</v>
      </c>
      <c r="K90" s="112">
        <f>G90*H90</f>
        <v>0</v>
      </c>
      <c r="L90" s="112">
        <v>0</v>
      </c>
      <c r="M90" s="112">
        <f>G90*L90</f>
        <v>0</v>
      </c>
      <c r="N90" s="113" t="s">
        <v>585</v>
      </c>
      <c r="O90" s="15"/>
      <c r="Z90" s="41">
        <f>IF(AQ90="5",BJ90,0)</f>
        <v>0</v>
      </c>
      <c r="AB90" s="41">
        <f>IF(AQ90="1",BH90,0)</f>
        <v>0</v>
      </c>
      <c r="AC90" s="41">
        <f>IF(AQ90="1",BI90,0)</f>
        <v>0</v>
      </c>
      <c r="AD90" s="41">
        <f>IF(AQ90="7",BH90,0)</f>
        <v>0</v>
      </c>
      <c r="AE90" s="41">
        <f>IF(AQ90="7",BI90,0)</f>
        <v>0</v>
      </c>
      <c r="AF90" s="41">
        <f>IF(AQ90="2",BH90,0)</f>
        <v>0</v>
      </c>
      <c r="AG90" s="41">
        <f>IF(AQ90="2",BI90,0)</f>
        <v>0</v>
      </c>
      <c r="AH90" s="41">
        <f>IF(AQ90="0",BJ90,0)</f>
        <v>0</v>
      </c>
      <c r="AI90" s="59"/>
      <c r="AJ90" s="54">
        <f>IF(AN90=0,K90,0)</f>
        <v>0</v>
      </c>
      <c r="AK90" s="54">
        <f>IF(AN90=15,K90,0)</f>
        <v>0</v>
      </c>
      <c r="AL90" s="54">
        <f>IF(AN90=21,K90,0)</f>
        <v>0</v>
      </c>
      <c r="AN90" s="41">
        <v>21</v>
      </c>
      <c r="AO90" s="41">
        <f>H90*0</f>
        <v>0</v>
      </c>
      <c r="AP90" s="41">
        <f>H90*(1-0)</f>
        <v>0</v>
      </c>
      <c r="AQ90" s="64" t="s">
        <v>137</v>
      </c>
      <c r="AV90" s="41">
        <f>AW90+AX90</f>
        <v>0</v>
      </c>
      <c r="AW90" s="41">
        <f>G90*AO90</f>
        <v>0</v>
      </c>
      <c r="AX90" s="41">
        <f>G90*AP90</f>
        <v>0</v>
      </c>
      <c r="AY90" s="66" t="s">
        <v>496</v>
      </c>
      <c r="AZ90" s="66" t="s">
        <v>510</v>
      </c>
      <c r="BA90" s="59" t="s">
        <v>512</v>
      </c>
      <c r="BC90" s="41">
        <f>AW90+AX90</f>
        <v>0</v>
      </c>
      <c r="BD90" s="41">
        <f>H90/(100-BE90)*100</f>
        <v>0</v>
      </c>
      <c r="BE90" s="41">
        <v>0</v>
      </c>
      <c r="BF90" s="41">
        <f>M90</f>
        <v>0</v>
      </c>
      <c r="BH90" s="54">
        <f>G90*AO90</f>
        <v>0</v>
      </c>
      <c r="BI90" s="54">
        <f>G90*AP90</f>
        <v>0</v>
      </c>
      <c r="BJ90" s="54">
        <f>G90*H90</f>
        <v>0</v>
      </c>
      <c r="BK90" s="54" t="s">
        <v>517</v>
      </c>
      <c r="BL90" s="41">
        <v>784</v>
      </c>
    </row>
    <row r="91" spans="1:64" ht="30" customHeight="1">
      <c r="A91" s="110" t="s">
        <v>78</v>
      </c>
      <c r="B91" s="130"/>
      <c r="C91" s="130" t="s">
        <v>295</v>
      </c>
      <c r="D91" s="261" t="s">
        <v>408</v>
      </c>
      <c r="E91" s="262"/>
      <c r="F91" s="111" t="s">
        <v>457</v>
      </c>
      <c r="G91" s="112">
        <v>30</v>
      </c>
      <c r="H91" s="134">
        <v>0</v>
      </c>
      <c r="I91" s="137">
        <f>G91*AO91</f>
        <v>0</v>
      </c>
      <c r="J91" s="137">
        <f>G91*AP91</f>
        <v>0</v>
      </c>
      <c r="K91" s="112">
        <f>G91*H91</f>
        <v>0</v>
      </c>
      <c r="L91" s="112">
        <v>0</v>
      </c>
      <c r="M91" s="112">
        <f>G91*L91</f>
        <v>0</v>
      </c>
      <c r="N91" s="113" t="s">
        <v>585</v>
      </c>
      <c r="O91" s="15"/>
      <c r="Z91" s="41">
        <f>IF(AQ91="5",BJ91,0)</f>
        <v>0</v>
      </c>
      <c r="AB91" s="41">
        <f>IF(AQ91="1",BH91,0)</f>
        <v>0</v>
      </c>
      <c r="AC91" s="41">
        <f>IF(AQ91="1",BI91,0)</f>
        <v>0</v>
      </c>
      <c r="AD91" s="41">
        <f>IF(AQ91="7",BH91,0)</f>
        <v>0</v>
      </c>
      <c r="AE91" s="41">
        <f>IF(AQ91="7",BI91,0)</f>
        <v>0</v>
      </c>
      <c r="AF91" s="41">
        <f>IF(AQ91="2",BH91,0)</f>
        <v>0</v>
      </c>
      <c r="AG91" s="41">
        <f>IF(AQ91="2",BI91,0)</f>
        <v>0</v>
      </c>
      <c r="AH91" s="41">
        <f>IF(AQ91="0",BJ91,0)</f>
        <v>0</v>
      </c>
      <c r="AI91" s="59"/>
      <c r="AJ91" s="54">
        <f>IF(AN91=0,K91,0)</f>
        <v>0</v>
      </c>
      <c r="AK91" s="54">
        <f>IF(AN91=15,K91,0)</f>
        <v>0</v>
      </c>
      <c r="AL91" s="54">
        <f>IF(AN91=21,K91,0)</f>
        <v>0</v>
      </c>
      <c r="AN91" s="41">
        <v>21</v>
      </c>
      <c r="AO91" s="41">
        <f>H91*0.117467581998474</f>
        <v>0</v>
      </c>
      <c r="AP91" s="41">
        <f>H91*(1-0.117467581998474)</f>
        <v>0</v>
      </c>
      <c r="AQ91" s="64" t="s">
        <v>137</v>
      </c>
      <c r="AV91" s="41">
        <f>AW91+AX91</f>
        <v>0</v>
      </c>
      <c r="AW91" s="41">
        <f>G91*AO91</f>
        <v>0</v>
      </c>
      <c r="AX91" s="41">
        <f>G91*AP91</f>
        <v>0</v>
      </c>
      <c r="AY91" s="66" t="s">
        <v>496</v>
      </c>
      <c r="AZ91" s="66" t="s">
        <v>510</v>
      </c>
      <c r="BA91" s="59" t="s">
        <v>512</v>
      </c>
      <c r="BC91" s="41">
        <f>AW91+AX91</f>
        <v>0</v>
      </c>
      <c r="BD91" s="41">
        <f>H91/(100-BE91)*100</f>
        <v>0</v>
      </c>
      <c r="BE91" s="41">
        <v>0</v>
      </c>
      <c r="BF91" s="41">
        <f>M91</f>
        <v>0</v>
      </c>
      <c r="BH91" s="54">
        <f>G91*AO91</f>
        <v>0</v>
      </c>
      <c r="BI91" s="54">
        <f>G91*AP91</f>
        <v>0</v>
      </c>
      <c r="BJ91" s="54">
        <f>G91*H91</f>
        <v>0</v>
      </c>
      <c r="BK91" s="54" t="s">
        <v>517</v>
      </c>
      <c r="BL91" s="41">
        <v>784</v>
      </c>
    </row>
    <row r="92" spans="1:64" ht="30" customHeight="1">
      <c r="A92" s="110" t="s">
        <v>190</v>
      </c>
      <c r="B92" s="130"/>
      <c r="C92" s="130" t="s">
        <v>296</v>
      </c>
      <c r="D92" s="261" t="s">
        <v>409</v>
      </c>
      <c r="E92" s="262"/>
      <c r="F92" s="111" t="s">
        <v>456</v>
      </c>
      <c r="G92" s="112">
        <v>155.04</v>
      </c>
      <c r="H92" s="134">
        <v>0</v>
      </c>
      <c r="I92" s="137">
        <f>G92*AO92</f>
        <v>0</v>
      </c>
      <c r="J92" s="137">
        <f>G92*AP92</f>
        <v>0</v>
      </c>
      <c r="K92" s="112">
        <f>G92*H92</f>
        <v>0</v>
      </c>
      <c r="L92" s="112">
        <v>0.0002</v>
      </c>
      <c r="M92" s="112">
        <f>G92*L92</f>
        <v>0.031008</v>
      </c>
      <c r="N92" s="113" t="s">
        <v>585</v>
      </c>
      <c r="O92" s="15"/>
      <c r="Z92" s="41">
        <f>IF(AQ92="5",BJ92,0)</f>
        <v>0</v>
      </c>
      <c r="AB92" s="41">
        <f>IF(AQ92="1",BH92,0)</f>
        <v>0</v>
      </c>
      <c r="AC92" s="41">
        <f>IF(AQ92="1",BI92,0)</f>
        <v>0</v>
      </c>
      <c r="AD92" s="41">
        <f>IF(AQ92="7",BH92,0)</f>
        <v>0</v>
      </c>
      <c r="AE92" s="41">
        <f>IF(AQ92="7",BI92,0)</f>
        <v>0</v>
      </c>
      <c r="AF92" s="41">
        <f>IF(AQ92="2",BH92,0)</f>
        <v>0</v>
      </c>
      <c r="AG92" s="41">
        <f>IF(AQ92="2",BI92,0)</f>
        <v>0</v>
      </c>
      <c r="AH92" s="41">
        <f>IF(AQ92="0",BJ92,0)</f>
        <v>0</v>
      </c>
      <c r="AI92" s="59"/>
      <c r="AJ92" s="54">
        <f>IF(AN92=0,K92,0)</f>
        <v>0</v>
      </c>
      <c r="AK92" s="54">
        <f>IF(AN92=15,K92,0)</f>
        <v>0</v>
      </c>
      <c r="AL92" s="54">
        <f>IF(AN92=21,K92,0)</f>
        <v>0</v>
      </c>
      <c r="AN92" s="41">
        <v>21</v>
      </c>
      <c r="AO92" s="41">
        <f>H92*0.409025080275042</f>
        <v>0</v>
      </c>
      <c r="AP92" s="41">
        <f>H92*(1-0.409025080275042)</f>
        <v>0</v>
      </c>
      <c r="AQ92" s="64" t="s">
        <v>137</v>
      </c>
      <c r="AV92" s="41">
        <f>AW92+AX92</f>
        <v>0</v>
      </c>
      <c r="AW92" s="41">
        <f>G92*AO92</f>
        <v>0</v>
      </c>
      <c r="AX92" s="41">
        <f>G92*AP92</f>
        <v>0</v>
      </c>
      <c r="AY92" s="66" t="s">
        <v>496</v>
      </c>
      <c r="AZ92" s="66" t="s">
        <v>510</v>
      </c>
      <c r="BA92" s="59" t="s">
        <v>512</v>
      </c>
      <c r="BC92" s="41">
        <f>AW92+AX92</f>
        <v>0</v>
      </c>
      <c r="BD92" s="41">
        <f>H92/(100-BE92)*100</f>
        <v>0</v>
      </c>
      <c r="BE92" s="41">
        <v>0</v>
      </c>
      <c r="BF92" s="41">
        <f>M92</f>
        <v>0.031008</v>
      </c>
      <c r="BH92" s="54">
        <f>G92*AO92</f>
        <v>0</v>
      </c>
      <c r="BI92" s="54">
        <f>G92*AP92</f>
        <v>0</v>
      </c>
      <c r="BJ92" s="54">
        <f>G92*H92</f>
        <v>0</v>
      </c>
      <c r="BK92" s="54" t="s">
        <v>517</v>
      </c>
      <c r="BL92" s="41">
        <v>784</v>
      </c>
    </row>
    <row r="93" spans="1:64" ht="30" customHeight="1">
      <c r="A93" s="110" t="s">
        <v>191</v>
      </c>
      <c r="B93" s="130"/>
      <c r="C93" s="130" t="s">
        <v>297</v>
      </c>
      <c r="D93" s="261" t="s">
        <v>410</v>
      </c>
      <c r="E93" s="262"/>
      <c r="F93" s="111" t="s">
        <v>456</v>
      </c>
      <c r="G93" s="112">
        <v>155.04</v>
      </c>
      <c r="H93" s="134">
        <v>0</v>
      </c>
      <c r="I93" s="137">
        <f>G93*AO93</f>
        <v>0</v>
      </c>
      <c r="J93" s="137">
        <f>G93*AP93</f>
        <v>0</v>
      </c>
      <c r="K93" s="112">
        <f>G93*H93</f>
        <v>0</v>
      </c>
      <c r="L93" s="112">
        <v>0.00024</v>
      </c>
      <c r="M93" s="112">
        <f>G93*L93</f>
        <v>0.0372096</v>
      </c>
      <c r="N93" s="113" t="s">
        <v>585</v>
      </c>
      <c r="O93" s="15"/>
      <c r="Z93" s="41">
        <f>IF(AQ93="5",BJ93,0)</f>
        <v>0</v>
      </c>
      <c r="AB93" s="41">
        <f>IF(AQ93="1",BH93,0)</f>
        <v>0</v>
      </c>
      <c r="AC93" s="41">
        <f>IF(AQ93="1",BI93,0)</f>
        <v>0</v>
      </c>
      <c r="AD93" s="41">
        <f>IF(AQ93="7",BH93,0)</f>
        <v>0</v>
      </c>
      <c r="AE93" s="41">
        <f>IF(AQ93="7",BI93,0)</f>
        <v>0</v>
      </c>
      <c r="AF93" s="41">
        <f>IF(AQ93="2",BH93,0)</f>
        <v>0</v>
      </c>
      <c r="AG93" s="41">
        <f>IF(AQ93="2",BI93,0)</f>
        <v>0</v>
      </c>
      <c r="AH93" s="41">
        <f>IF(AQ93="0",BJ93,0)</f>
        <v>0</v>
      </c>
      <c r="AI93" s="59"/>
      <c r="AJ93" s="54">
        <f>IF(AN93=0,K93,0)</f>
        <v>0</v>
      </c>
      <c r="AK93" s="54">
        <f>IF(AN93=15,K93,0)</f>
        <v>0</v>
      </c>
      <c r="AL93" s="54">
        <f>IF(AN93=21,K93,0)</f>
        <v>0</v>
      </c>
      <c r="AN93" s="41">
        <v>21</v>
      </c>
      <c r="AO93" s="41">
        <f>H93*0.25571633151555</f>
        <v>0</v>
      </c>
      <c r="AP93" s="41">
        <f>H93*(1-0.25571633151555)</f>
        <v>0</v>
      </c>
      <c r="AQ93" s="64" t="s">
        <v>137</v>
      </c>
      <c r="AV93" s="41">
        <f>AW93+AX93</f>
        <v>0</v>
      </c>
      <c r="AW93" s="41">
        <f>G93*AO93</f>
        <v>0</v>
      </c>
      <c r="AX93" s="41">
        <f>G93*AP93</f>
        <v>0</v>
      </c>
      <c r="AY93" s="66" t="s">
        <v>496</v>
      </c>
      <c r="AZ93" s="66" t="s">
        <v>510</v>
      </c>
      <c r="BA93" s="59" t="s">
        <v>512</v>
      </c>
      <c r="BC93" s="41">
        <f>AW93+AX93</f>
        <v>0</v>
      </c>
      <c r="BD93" s="41">
        <f>H93/(100-BE93)*100</f>
        <v>0</v>
      </c>
      <c r="BE93" s="41">
        <v>0</v>
      </c>
      <c r="BF93" s="41">
        <f>M93</f>
        <v>0.0372096</v>
      </c>
      <c r="BH93" s="54">
        <f>G93*AO93</f>
        <v>0</v>
      </c>
      <c r="BI93" s="54">
        <f>G93*AP93</f>
        <v>0</v>
      </c>
      <c r="BJ93" s="54">
        <f>G93*H93</f>
        <v>0</v>
      </c>
      <c r="BK93" s="54" t="s">
        <v>517</v>
      </c>
      <c r="BL93" s="41">
        <v>784</v>
      </c>
    </row>
    <row r="94" spans="1:64" ht="30" customHeight="1">
      <c r="A94" s="110" t="s">
        <v>192</v>
      </c>
      <c r="B94" s="130"/>
      <c r="C94" s="130" t="s">
        <v>298</v>
      </c>
      <c r="D94" s="261" t="s">
        <v>411</v>
      </c>
      <c r="E94" s="262"/>
      <c r="F94" s="111" t="s">
        <v>456</v>
      </c>
      <c r="G94" s="112">
        <v>50</v>
      </c>
      <c r="H94" s="134">
        <v>0</v>
      </c>
      <c r="I94" s="137">
        <f>G94*AO94</f>
        <v>0</v>
      </c>
      <c r="J94" s="137">
        <f>G94*AP94</f>
        <v>0</v>
      </c>
      <c r="K94" s="112">
        <f>G94*H94</f>
        <v>0</v>
      </c>
      <c r="L94" s="112">
        <v>0</v>
      </c>
      <c r="M94" s="112">
        <f>G94*L94</f>
        <v>0</v>
      </c>
      <c r="N94" s="113" t="s">
        <v>585</v>
      </c>
      <c r="O94" s="15"/>
      <c r="Z94" s="41">
        <f>IF(AQ94="5",BJ94,0)</f>
        <v>0</v>
      </c>
      <c r="AB94" s="41">
        <f>IF(AQ94="1",BH94,0)</f>
        <v>0</v>
      </c>
      <c r="AC94" s="41">
        <f>IF(AQ94="1",BI94,0)</f>
        <v>0</v>
      </c>
      <c r="AD94" s="41">
        <f>IF(AQ94="7",BH94,0)</f>
        <v>0</v>
      </c>
      <c r="AE94" s="41">
        <f>IF(AQ94="7",BI94,0)</f>
        <v>0</v>
      </c>
      <c r="AF94" s="41">
        <f>IF(AQ94="2",BH94,0)</f>
        <v>0</v>
      </c>
      <c r="AG94" s="41">
        <f>IF(AQ94="2",BI94,0)</f>
        <v>0</v>
      </c>
      <c r="AH94" s="41">
        <f>IF(AQ94="0",BJ94,0)</f>
        <v>0</v>
      </c>
      <c r="AI94" s="59"/>
      <c r="AJ94" s="54">
        <f>IF(AN94=0,K94,0)</f>
        <v>0</v>
      </c>
      <c r="AK94" s="54">
        <f>IF(AN94=15,K94,0)</f>
        <v>0</v>
      </c>
      <c r="AL94" s="54">
        <f>IF(AN94=21,K94,0)</f>
        <v>0</v>
      </c>
      <c r="AN94" s="41">
        <v>21</v>
      </c>
      <c r="AO94" s="41">
        <f>H94*0.00293169158604515</f>
        <v>0</v>
      </c>
      <c r="AP94" s="41">
        <f>H94*(1-0.00293169158604515)</f>
        <v>0</v>
      </c>
      <c r="AQ94" s="64" t="s">
        <v>137</v>
      </c>
      <c r="AV94" s="41">
        <f>AW94+AX94</f>
        <v>0</v>
      </c>
      <c r="AW94" s="41">
        <f>G94*AO94</f>
        <v>0</v>
      </c>
      <c r="AX94" s="41">
        <f>G94*AP94</f>
        <v>0</v>
      </c>
      <c r="AY94" s="66" t="s">
        <v>496</v>
      </c>
      <c r="AZ94" s="66" t="s">
        <v>510</v>
      </c>
      <c r="BA94" s="59" t="s">
        <v>512</v>
      </c>
      <c r="BC94" s="41">
        <f>AW94+AX94</f>
        <v>0</v>
      </c>
      <c r="BD94" s="41">
        <f>H94/(100-BE94)*100</f>
        <v>0</v>
      </c>
      <c r="BE94" s="41">
        <v>0</v>
      </c>
      <c r="BF94" s="41">
        <f>M94</f>
        <v>0</v>
      </c>
      <c r="BH94" s="54">
        <f>G94*AO94</f>
        <v>0</v>
      </c>
      <c r="BI94" s="54">
        <f>G94*AP94</f>
        <v>0</v>
      </c>
      <c r="BJ94" s="54">
        <f>G94*H94</f>
        <v>0</v>
      </c>
      <c r="BK94" s="54" t="s">
        <v>517</v>
      </c>
      <c r="BL94" s="41">
        <v>784</v>
      </c>
    </row>
    <row r="95" spans="1:47" ht="30" customHeight="1">
      <c r="A95" s="114"/>
      <c r="B95" s="131"/>
      <c r="C95" s="131" t="s">
        <v>89</v>
      </c>
      <c r="D95" s="263" t="s">
        <v>113</v>
      </c>
      <c r="E95" s="264"/>
      <c r="F95" s="116" t="s">
        <v>71</v>
      </c>
      <c r="G95" s="116" t="s">
        <v>71</v>
      </c>
      <c r="H95" s="116" t="s">
        <v>71</v>
      </c>
      <c r="I95" s="138" t="s">
        <v>71</v>
      </c>
      <c r="J95" s="138" t="s">
        <v>71</v>
      </c>
      <c r="K95" s="117">
        <f>SUM(K96:K96)</f>
        <v>0</v>
      </c>
      <c r="L95" s="118"/>
      <c r="M95" s="117">
        <f>SUM(M96:M96)</f>
        <v>0.0484</v>
      </c>
      <c r="N95" s="119"/>
      <c r="O95" s="15"/>
      <c r="AI95" s="59"/>
      <c r="AS95" s="69">
        <f>SUM(AJ96:AJ96)</f>
        <v>0</v>
      </c>
      <c r="AT95" s="69">
        <f>SUM(AK96:AK96)</f>
        <v>0</v>
      </c>
      <c r="AU95" s="69">
        <f>SUM(AL96:AL96)</f>
        <v>0</v>
      </c>
    </row>
    <row r="96" spans="1:64" ht="30" customHeight="1">
      <c r="A96" s="110" t="s">
        <v>193</v>
      </c>
      <c r="B96" s="130"/>
      <c r="C96" s="130" t="s">
        <v>299</v>
      </c>
      <c r="D96" s="261" t="s">
        <v>412</v>
      </c>
      <c r="E96" s="262"/>
      <c r="F96" s="111" t="s">
        <v>456</v>
      </c>
      <c r="G96" s="112">
        <v>40</v>
      </c>
      <c r="H96" s="134">
        <v>0</v>
      </c>
      <c r="I96" s="137">
        <f>G96*AO96</f>
        <v>0</v>
      </c>
      <c r="J96" s="137">
        <f>G96*AP96</f>
        <v>0</v>
      </c>
      <c r="K96" s="112">
        <f>G96*H96</f>
        <v>0</v>
      </c>
      <c r="L96" s="112">
        <v>0.00121</v>
      </c>
      <c r="M96" s="112">
        <f>G96*L96</f>
        <v>0.0484</v>
      </c>
      <c r="N96" s="113" t="s">
        <v>585</v>
      </c>
      <c r="O96" s="15"/>
      <c r="Z96" s="41">
        <f>IF(AQ96="5",BJ96,0)</f>
        <v>0</v>
      </c>
      <c r="AB96" s="41">
        <f>IF(AQ96="1",BH96,0)</f>
        <v>0</v>
      </c>
      <c r="AC96" s="41">
        <f>IF(AQ96="1",BI96,0)</f>
        <v>0</v>
      </c>
      <c r="AD96" s="41">
        <f>IF(AQ96="7",BH96,0)</f>
        <v>0</v>
      </c>
      <c r="AE96" s="41">
        <f>IF(AQ96="7",BI96,0)</f>
        <v>0</v>
      </c>
      <c r="AF96" s="41">
        <f>IF(AQ96="2",BH96,0)</f>
        <v>0</v>
      </c>
      <c r="AG96" s="41">
        <f>IF(AQ96="2",BI96,0)</f>
        <v>0</v>
      </c>
      <c r="AH96" s="41">
        <f>IF(AQ96="0",BJ96,0)</f>
        <v>0</v>
      </c>
      <c r="AI96" s="59"/>
      <c r="AJ96" s="54">
        <f>IF(AN96=0,K96,0)</f>
        <v>0</v>
      </c>
      <c r="AK96" s="54">
        <f>IF(AN96=15,K96,0)</f>
        <v>0</v>
      </c>
      <c r="AL96" s="54">
        <f>IF(AN96=21,K96,0)</f>
        <v>0</v>
      </c>
      <c r="AN96" s="41">
        <v>21</v>
      </c>
      <c r="AO96" s="41">
        <f>H96*0.337739130434783</f>
        <v>0</v>
      </c>
      <c r="AP96" s="41">
        <f>H96*(1-0.337739130434783)</f>
        <v>0</v>
      </c>
      <c r="AQ96" s="64" t="s">
        <v>131</v>
      </c>
      <c r="AV96" s="41">
        <f>AW96+AX96</f>
        <v>0</v>
      </c>
      <c r="AW96" s="41">
        <f>G96*AO96</f>
        <v>0</v>
      </c>
      <c r="AX96" s="41">
        <f>G96*AP96</f>
        <v>0</v>
      </c>
      <c r="AY96" s="66" t="s">
        <v>497</v>
      </c>
      <c r="AZ96" s="66" t="s">
        <v>511</v>
      </c>
      <c r="BA96" s="59" t="s">
        <v>512</v>
      </c>
      <c r="BC96" s="41">
        <f>AW96+AX96</f>
        <v>0</v>
      </c>
      <c r="BD96" s="41">
        <f>H96/(100-BE96)*100</f>
        <v>0</v>
      </c>
      <c r="BE96" s="41">
        <v>0</v>
      </c>
      <c r="BF96" s="41">
        <f>M96</f>
        <v>0.0484</v>
      </c>
      <c r="BH96" s="54">
        <f>G96*AO96</f>
        <v>0</v>
      </c>
      <c r="BI96" s="54">
        <f>G96*AP96</f>
        <v>0</v>
      </c>
      <c r="BJ96" s="54">
        <f>G96*H96</f>
        <v>0</v>
      </c>
      <c r="BK96" s="54" t="s">
        <v>517</v>
      </c>
      <c r="BL96" s="41">
        <v>94</v>
      </c>
    </row>
    <row r="97" spans="1:47" ht="30" customHeight="1">
      <c r="A97" s="114"/>
      <c r="B97" s="131"/>
      <c r="C97" s="131" t="s">
        <v>90</v>
      </c>
      <c r="D97" s="263" t="s">
        <v>114</v>
      </c>
      <c r="E97" s="264"/>
      <c r="F97" s="116" t="s">
        <v>71</v>
      </c>
      <c r="G97" s="116" t="s">
        <v>71</v>
      </c>
      <c r="H97" s="116" t="s">
        <v>71</v>
      </c>
      <c r="I97" s="138" t="s">
        <v>71</v>
      </c>
      <c r="J97" s="138" t="s">
        <v>71</v>
      </c>
      <c r="K97" s="117">
        <f>SUM(K98:K98)</f>
        <v>0</v>
      </c>
      <c r="L97" s="118"/>
      <c r="M97" s="117">
        <f>SUM(M98:M98)</f>
        <v>0.1</v>
      </c>
      <c r="N97" s="119"/>
      <c r="O97" s="15"/>
      <c r="AI97" s="59"/>
      <c r="AS97" s="69">
        <f>SUM(AJ98:AJ98)</f>
        <v>0</v>
      </c>
      <c r="AT97" s="69">
        <f>SUM(AK98:AK98)</f>
        <v>0</v>
      </c>
      <c r="AU97" s="69">
        <f>SUM(AL98:AL98)</f>
        <v>0</v>
      </c>
    </row>
    <row r="98" spans="1:64" ht="30" customHeight="1">
      <c r="A98" s="110" t="s">
        <v>194</v>
      </c>
      <c r="B98" s="130"/>
      <c r="C98" s="130" t="s">
        <v>300</v>
      </c>
      <c r="D98" s="261" t="s">
        <v>413</v>
      </c>
      <c r="E98" s="262"/>
      <c r="F98" s="111" t="s">
        <v>456</v>
      </c>
      <c r="G98" s="112">
        <v>100</v>
      </c>
      <c r="H98" s="134">
        <v>0</v>
      </c>
      <c r="I98" s="137">
        <f>G98*AO98</f>
        <v>0</v>
      </c>
      <c r="J98" s="137">
        <f>G98*AP98</f>
        <v>0</v>
      </c>
      <c r="K98" s="112">
        <f>G98*H98</f>
        <v>0</v>
      </c>
      <c r="L98" s="112">
        <v>0.001</v>
      </c>
      <c r="M98" s="112">
        <f>G98*L98</f>
        <v>0.1</v>
      </c>
      <c r="N98" s="113" t="s">
        <v>585</v>
      </c>
      <c r="O98" s="15"/>
      <c r="Z98" s="41">
        <f>IF(AQ98="5",BJ98,0)</f>
        <v>0</v>
      </c>
      <c r="AB98" s="41">
        <f>IF(AQ98="1",BH98,0)</f>
        <v>0</v>
      </c>
      <c r="AC98" s="41">
        <f>IF(AQ98="1",BI98,0)</f>
        <v>0</v>
      </c>
      <c r="AD98" s="41">
        <f>IF(AQ98="7",BH98,0)</f>
        <v>0</v>
      </c>
      <c r="AE98" s="41">
        <f>IF(AQ98="7",BI98,0)</f>
        <v>0</v>
      </c>
      <c r="AF98" s="41">
        <f>IF(AQ98="2",BH98,0)</f>
        <v>0</v>
      </c>
      <c r="AG98" s="41">
        <f>IF(AQ98="2",BI98,0)</f>
        <v>0</v>
      </c>
      <c r="AH98" s="41">
        <f>IF(AQ98="0",BJ98,0)</f>
        <v>0</v>
      </c>
      <c r="AI98" s="59"/>
      <c r="AJ98" s="54">
        <f>IF(AN98=0,K98,0)</f>
        <v>0</v>
      </c>
      <c r="AK98" s="54">
        <f>IF(AN98=15,K98,0)</f>
        <v>0</v>
      </c>
      <c r="AL98" s="54">
        <f>IF(AN98=21,K98,0)</f>
        <v>0</v>
      </c>
      <c r="AN98" s="41">
        <v>21</v>
      </c>
      <c r="AO98" s="41">
        <f>H98*0.283018867924528</f>
        <v>0</v>
      </c>
      <c r="AP98" s="41">
        <f>H98*(1-0.283018867924528)</f>
        <v>0</v>
      </c>
      <c r="AQ98" s="64" t="s">
        <v>131</v>
      </c>
      <c r="AV98" s="41">
        <f>AW98+AX98</f>
        <v>0</v>
      </c>
      <c r="AW98" s="41">
        <f>G98*AO98</f>
        <v>0</v>
      </c>
      <c r="AX98" s="41">
        <f>G98*AP98</f>
        <v>0</v>
      </c>
      <c r="AY98" s="66" t="s">
        <v>498</v>
      </c>
      <c r="AZ98" s="66" t="s">
        <v>511</v>
      </c>
      <c r="BA98" s="59" t="s">
        <v>512</v>
      </c>
      <c r="BC98" s="41">
        <f>AW98+AX98</f>
        <v>0</v>
      </c>
      <c r="BD98" s="41">
        <f>H98/(100-BE98)*100</f>
        <v>0</v>
      </c>
      <c r="BE98" s="41">
        <v>0</v>
      </c>
      <c r="BF98" s="41">
        <f>M98</f>
        <v>0.1</v>
      </c>
      <c r="BH98" s="54">
        <f>G98*AO98</f>
        <v>0</v>
      </c>
      <c r="BI98" s="54">
        <f>G98*AP98</f>
        <v>0</v>
      </c>
      <c r="BJ98" s="54">
        <f>G98*H98</f>
        <v>0</v>
      </c>
      <c r="BK98" s="54" t="s">
        <v>517</v>
      </c>
      <c r="BL98" s="41">
        <v>952</v>
      </c>
    </row>
    <row r="99" spans="1:47" ht="30" customHeight="1">
      <c r="A99" s="114"/>
      <c r="B99" s="131"/>
      <c r="C99" s="131" t="s">
        <v>91</v>
      </c>
      <c r="D99" s="263" t="s">
        <v>115</v>
      </c>
      <c r="E99" s="264"/>
      <c r="F99" s="116" t="s">
        <v>71</v>
      </c>
      <c r="G99" s="116" t="s">
        <v>71</v>
      </c>
      <c r="H99" s="116" t="s">
        <v>71</v>
      </c>
      <c r="I99" s="138" t="s">
        <v>71</v>
      </c>
      <c r="J99" s="138" t="s">
        <v>71</v>
      </c>
      <c r="K99" s="117">
        <f>SUM(K100:K107)</f>
        <v>0</v>
      </c>
      <c r="L99" s="118"/>
      <c r="M99" s="117">
        <f>SUM(M100:M107)</f>
        <v>11.828097</v>
      </c>
      <c r="N99" s="119"/>
      <c r="O99" s="15"/>
      <c r="AI99" s="59"/>
      <c r="AS99" s="69">
        <f>SUM(AJ100:AJ107)</f>
        <v>0</v>
      </c>
      <c r="AT99" s="69">
        <f>SUM(AK100:AK107)</f>
        <v>0</v>
      </c>
      <c r="AU99" s="69">
        <f>SUM(AL100:AL107)</f>
        <v>0</v>
      </c>
    </row>
    <row r="100" spans="1:64" ht="30" customHeight="1">
      <c r="A100" s="110" t="s">
        <v>195</v>
      </c>
      <c r="B100" s="130"/>
      <c r="C100" s="130" t="s">
        <v>301</v>
      </c>
      <c r="D100" s="261" t="s">
        <v>414</v>
      </c>
      <c r="E100" s="262"/>
      <c r="F100" s="111" t="s">
        <v>456</v>
      </c>
      <c r="G100" s="112">
        <v>37.5</v>
      </c>
      <c r="H100" s="134">
        <v>0</v>
      </c>
      <c r="I100" s="137">
        <f aca="true" t="shared" si="120" ref="I100:I107">G100*AO100</f>
        <v>0</v>
      </c>
      <c r="J100" s="137">
        <f aca="true" t="shared" si="121" ref="J100:J107">G100*AP100</f>
        <v>0</v>
      </c>
      <c r="K100" s="112">
        <f aca="true" t="shared" si="122" ref="K100:K107">G100*H100</f>
        <v>0</v>
      </c>
      <c r="L100" s="112">
        <v>0.02551</v>
      </c>
      <c r="M100" s="112">
        <f aca="true" t="shared" si="123" ref="M100:M107">G100*L100</f>
        <v>0.9566250000000001</v>
      </c>
      <c r="N100" s="113" t="s">
        <v>585</v>
      </c>
      <c r="O100" s="15"/>
      <c r="Z100" s="41">
        <f aca="true" t="shared" si="124" ref="Z100:Z107">IF(AQ100="5",BJ100,0)</f>
        <v>0</v>
      </c>
      <c r="AB100" s="41">
        <f aca="true" t="shared" si="125" ref="AB100:AB107">IF(AQ100="1",BH100,0)</f>
        <v>0</v>
      </c>
      <c r="AC100" s="41">
        <f aca="true" t="shared" si="126" ref="AC100:AC107">IF(AQ100="1",BI100,0)</f>
        <v>0</v>
      </c>
      <c r="AD100" s="41">
        <f aca="true" t="shared" si="127" ref="AD100:AD107">IF(AQ100="7",BH100,0)</f>
        <v>0</v>
      </c>
      <c r="AE100" s="41">
        <f aca="true" t="shared" si="128" ref="AE100:AE107">IF(AQ100="7",BI100,0)</f>
        <v>0</v>
      </c>
      <c r="AF100" s="41">
        <f aca="true" t="shared" si="129" ref="AF100:AF107">IF(AQ100="2",BH100,0)</f>
        <v>0</v>
      </c>
      <c r="AG100" s="41">
        <f aca="true" t="shared" si="130" ref="AG100:AG107">IF(AQ100="2",BI100,0)</f>
        <v>0</v>
      </c>
      <c r="AH100" s="41">
        <f aca="true" t="shared" si="131" ref="AH100:AH107">IF(AQ100="0",BJ100,0)</f>
        <v>0</v>
      </c>
      <c r="AI100" s="59"/>
      <c r="AJ100" s="54">
        <f aca="true" t="shared" si="132" ref="AJ100:AJ107">IF(AN100=0,K100,0)</f>
        <v>0</v>
      </c>
      <c r="AK100" s="54">
        <f aca="true" t="shared" si="133" ref="AK100:AK107">IF(AN100=15,K100,0)</f>
        <v>0</v>
      </c>
      <c r="AL100" s="54">
        <f aca="true" t="shared" si="134" ref="AL100:AL107">IF(AN100=21,K100,0)</f>
        <v>0</v>
      </c>
      <c r="AN100" s="41">
        <v>21</v>
      </c>
      <c r="AO100" s="41">
        <f>H100*0</f>
        <v>0</v>
      </c>
      <c r="AP100" s="41">
        <f>H100*(1-0)</f>
        <v>0</v>
      </c>
      <c r="AQ100" s="64" t="s">
        <v>131</v>
      </c>
      <c r="AV100" s="41">
        <f aca="true" t="shared" si="135" ref="AV100:AV107">AW100+AX100</f>
        <v>0</v>
      </c>
      <c r="AW100" s="41">
        <f aca="true" t="shared" si="136" ref="AW100:AW107">G100*AO100</f>
        <v>0</v>
      </c>
      <c r="AX100" s="41">
        <f aca="true" t="shared" si="137" ref="AX100:AX107">G100*AP100</f>
        <v>0</v>
      </c>
      <c r="AY100" s="66" t="s">
        <v>499</v>
      </c>
      <c r="AZ100" s="66" t="s">
        <v>511</v>
      </c>
      <c r="BA100" s="59" t="s">
        <v>512</v>
      </c>
      <c r="BC100" s="41">
        <f aca="true" t="shared" si="138" ref="BC100:BC107">AW100+AX100</f>
        <v>0</v>
      </c>
      <c r="BD100" s="41">
        <f aca="true" t="shared" si="139" ref="BD100:BD107">H100/(100-BE100)*100</f>
        <v>0</v>
      </c>
      <c r="BE100" s="41">
        <v>0</v>
      </c>
      <c r="BF100" s="41">
        <f aca="true" t="shared" si="140" ref="BF100:BF107">M100</f>
        <v>0.9566250000000001</v>
      </c>
      <c r="BH100" s="54">
        <f aca="true" t="shared" si="141" ref="BH100:BH107">G100*AO100</f>
        <v>0</v>
      </c>
      <c r="BI100" s="54">
        <f aca="true" t="shared" si="142" ref="BI100:BI107">G100*AP100</f>
        <v>0</v>
      </c>
      <c r="BJ100" s="54">
        <f aca="true" t="shared" si="143" ref="BJ100:BJ107">G100*H100</f>
        <v>0</v>
      </c>
      <c r="BK100" s="54" t="s">
        <v>517</v>
      </c>
      <c r="BL100" s="41">
        <v>96</v>
      </c>
    </row>
    <row r="101" spans="1:64" ht="30" customHeight="1">
      <c r="A101" s="110" t="s">
        <v>196</v>
      </c>
      <c r="B101" s="130"/>
      <c r="C101" s="130" t="s">
        <v>302</v>
      </c>
      <c r="D101" s="261" t="s">
        <v>415</v>
      </c>
      <c r="E101" s="262"/>
      <c r="F101" s="111" t="s">
        <v>456</v>
      </c>
      <c r="G101" s="112">
        <v>37.5</v>
      </c>
      <c r="H101" s="134">
        <v>0</v>
      </c>
      <c r="I101" s="137">
        <f t="shared" si="120"/>
        <v>0</v>
      </c>
      <c r="J101" s="137">
        <f t="shared" si="121"/>
        <v>0</v>
      </c>
      <c r="K101" s="112">
        <f t="shared" si="122"/>
        <v>0</v>
      </c>
      <c r="L101" s="112">
        <v>0.02</v>
      </c>
      <c r="M101" s="112">
        <f t="shared" si="123"/>
        <v>0.75</v>
      </c>
      <c r="N101" s="113" t="s">
        <v>585</v>
      </c>
      <c r="O101" s="15"/>
      <c r="Z101" s="41">
        <f t="shared" si="124"/>
        <v>0</v>
      </c>
      <c r="AB101" s="41">
        <f t="shared" si="125"/>
        <v>0</v>
      </c>
      <c r="AC101" s="41">
        <f t="shared" si="126"/>
        <v>0</v>
      </c>
      <c r="AD101" s="41">
        <f t="shared" si="127"/>
        <v>0</v>
      </c>
      <c r="AE101" s="41">
        <f t="shared" si="128"/>
        <v>0</v>
      </c>
      <c r="AF101" s="41">
        <f t="shared" si="129"/>
        <v>0</v>
      </c>
      <c r="AG101" s="41">
        <f t="shared" si="130"/>
        <v>0</v>
      </c>
      <c r="AH101" s="41">
        <f t="shared" si="131"/>
        <v>0</v>
      </c>
      <c r="AI101" s="59"/>
      <c r="AJ101" s="54">
        <f t="shared" si="132"/>
        <v>0</v>
      </c>
      <c r="AK101" s="54">
        <f t="shared" si="133"/>
        <v>0</v>
      </c>
      <c r="AL101" s="54">
        <f t="shared" si="134"/>
        <v>0</v>
      </c>
      <c r="AN101" s="41">
        <v>21</v>
      </c>
      <c r="AO101" s="41">
        <f>H101*0</f>
        <v>0</v>
      </c>
      <c r="AP101" s="41">
        <f>H101*(1-0)</f>
        <v>0</v>
      </c>
      <c r="AQ101" s="64" t="s">
        <v>131</v>
      </c>
      <c r="AV101" s="41">
        <f t="shared" si="135"/>
        <v>0</v>
      </c>
      <c r="AW101" s="41">
        <f t="shared" si="136"/>
        <v>0</v>
      </c>
      <c r="AX101" s="41">
        <f t="shared" si="137"/>
        <v>0</v>
      </c>
      <c r="AY101" s="66" t="s">
        <v>499</v>
      </c>
      <c r="AZ101" s="66" t="s">
        <v>511</v>
      </c>
      <c r="BA101" s="59" t="s">
        <v>512</v>
      </c>
      <c r="BC101" s="41">
        <f t="shared" si="138"/>
        <v>0</v>
      </c>
      <c r="BD101" s="41">
        <f t="shared" si="139"/>
        <v>0</v>
      </c>
      <c r="BE101" s="41">
        <v>0</v>
      </c>
      <c r="BF101" s="41">
        <f t="shared" si="140"/>
        <v>0.75</v>
      </c>
      <c r="BH101" s="54">
        <f t="shared" si="141"/>
        <v>0</v>
      </c>
      <c r="BI101" s="54">
        <f t="shared" si="142"/>
        <v>0</v>
      </c>
      <c r="BJ101" s="54">
        <f t="shared" si="143"/>
        <v>0</v>
      </c>
      <c r="BK101" s="54" t="s">
        <v>517</v>
      </c>
      <c r="BL101" s="41">
        <v>96</v>
      </c>
    </row>
    <row r="102" spans="1:64" ht="30" customHeight="1">
      <c r="A102" s="110" t="s">
        <v>197</v>
      </c>
      <c r="B102" s="130"/>
      <c r="C102" s="130" t="s">
        <v>303</v>
      </c>
      <c r="D102" s="261" t="s">
        <v>416</v>
      </c>
      <c r="E102" s="262"/>
      <c r="F102" s="111" t="s">
        <v>462</v>
      </c>
      <c r="G102" s="112">
        <v>3</v>
      </c>
      <c r="H102" s="134">
        <v>0</v>
      </c>
      <c r="I102" s="137">
        <f t="shared" si="120"/>
        <v>0</v>
      </c>
      <c r="J102" s="137">
        <f t="shared" si="121"/>
        <v>0</v>
      </c>
      <c r="K102" s="112">
        <f t="shared" si="122"/>
        <v>0</v>
      </c>
      <c r="L102" s="112">
        <v>0.04237</v>
      </c>
      <c r="M102" s="112">
        <f t="shared" si="123"/>
        <v>0.12711</v>
      </c>
      <c r="N102" s="113" t="s">
        <v>585</v>
      </c>
      <c r="O102" s="15"/>
      <c r="Z102" s="41">
        <f t="shared" si="124"/>
        <v>0</v>
      </c>
      <c r="AB102" s="41">
        <f t="shared" si="125"/>
        <v>0</v>
      </c>
      <c r="AC102" s="41">
        <f t="shared" si="126"/>
        <v>0</v>
      </c>
      <c r="AD102" s="41">
        <f t="shared" si="127"/>
        <v>0</v>
      </c>
      <c r="AE102" s="41">
        <f t="shared" si="128"/>
        <v>0</v>
      </c>
      <c r="AF102" s="41">
        <f t="shared" si="129"/>
        <v>0</v>
      </c>
      <c r="AG102" s="41">
        <f t="shared" si="130"/>
        <v>0</v>
      </c>
      <c r="AH102" s="41">
        <f t="shared" si="131"/>
        <v>0</v>
      </c>
      <c r="AI102" s="59"/>
      <c r="AJ102" s="54">
        <f t="shared" si="132"/>
        <v>0</v>
      </c>
      <c r="AK102" s="54">
        <f t="shared" si="133"/>
        <v>0</v>
      </c>
      <c r="AL102" s="54">
        <f t="shared" si="134"/>
        <v>0</v>
      </c>
      <c r="AN102" s="41">
        <v>21</v>
      </c>
      <c r="AO102" s="41">
        <f>H102*0.142353846153846</f>
        <v>0</v>
      </c>
      <c r="AP102" s="41">
        <f>H102*(1-0.142353846153846)</f>
        <v>0</v>
      </c>
      <c r="AQ102" s="64" t="s">
        <v>131</v>
      </c>
      <c r="AV102" s="41">
        <f t="shared" si="135"/>
        <v>0</v>
      </c>
      <c r="AW102" s="41">
        <f t="shared" si="136"/>
        <v>0</v>
      </c>
      <c r="AX102" s="41">
        <f t="shared" si="137"/>
        <v>0</v>
      </c>
      <c r="AY102" s="66" t="s">
        <v>499</v>
      </c>
      <c r="AZ102" s="66" t="s">
        <v>511</v>
      </c>
      <c r="BA102" s="59" t="s">
        <v>512</v>
      </c>
      <c r="BC102" s="41">
        <f t="shared" si="138"/>
        <v>0</v>
      </c>
      <c r="BD102" s="41">
        <f t="shared" si="139"/>
        <v>0</v>
      </c>
      <c r="BE102" s="41">
        <v>0</v>
      </c>
      <c r="BF102" s="41">
        <f t="shared" si="140"/>
        <v>0.12711</v>
      </c>
      <c r="BH102" s="54">
        <f t="shared" si="141"/>
        <v>0</v>
      </c>
      <c r="BI102" s="54">
        <f t="shared" si="142"/>
        <v>0</v>
      </c>
      <c r="BJ102" s="54">
        <f t="shared" si="143"/>
        <v>0</v>
      </c>
      <c r="BK102" s="54" t="s">
        <v>517</v>
      </c>
      <c r="BL102" s="41">
        <v>96</v>
      </c>
    </row>
    <row r="103" spans="1:64" ht="30" customHeight="1">
      <c r="A103" s="110" t="s">
        <v>198</v>
      </c>
      <c r="B103" s="130"/>
      <c r="C103" s="130" t="s">
        <v>304</v>
      </c>
      <c r="D103" s="261" t="s">
        <v>417</v>
      </c>
      <c r="E103" s="262"/>
      <c r="F103" s="111" t="s">
        <v>456</v>
      </c>
      <c r="G103" s="112">
        <v>37.5</v>
      </c>
      <c r="H103" s="134">
        <v>0</v>
      </c>
      <c r="I103" s="137">
        <f t="shared" si="120"/>
        <v>0</v>
      </c>
      <c r="J103" s="137">
        <f t="shared" si="121"/>
        <v>0</v>
      </c>
      <c r="K103" s="112">
        <f t="shared" si="122"/>
        <v>0</v>
      </c>
      <c r="L103" s="112">
        <v>0.2</v>
      </c>
      <c r="M103" s="112">
        <f t="shared" si="123"/>
        <v>7.5</v>
      </c>
      <c r="N103" s="113" t="s">
        <v>585</v>
      </c>
      <c r="O103" s="15"/>
      <c r="Z103" s="41">
        <f t="shared" si="124"/>
        <v>0</v>
      </c>
      <c r="AB103" s="41">
        <f t="shared" si="125"/>
        <v>0</v>
      </c>
      <c r="AC103" s="41">
        <f t="shared" si="126"/>
        <v>0</v>
      </c>
      <c r="AD103" s="41">
        <f t="shared" si="127"/>
        <v>0</v>
      </c>
      <c r="AE103" s="41">
        <f t="shared" si="128"/>
        <v>0</v>
      </c>
      <c r="AF103" s="41">
        <f t="shared" si="129"/>
        <v>0</v>
      </c>
      <c r="AG103" s="41">
        <f t="shared" si="130"/>
        <v>0</v>
      </c>
      <c r="AH103" s="41">
        <f t="shared" si="131"/>
        <v>0</v>
      </c>
      <c r="AI103" s="59"/>
      <c r="AJ103" s="54">
        <f t="shared" si="132"/>
        <v>0</v>
      </c>
      <c r="AK103" s="54">
        <f t="shared" si="133"/>
        <v>0</v>
      </c>
      <c r="AL103" s="54">
        <f t="shared" si="134"/>
        <v>0</v>
      </c>
      <c r="AN103" s="41">
        <v>21</v>
      </c>
      <c r="AO103" s="41">
        <f>H103*0</f>
        <v>0</v>
      </c>
      <c r="AP103" s="41">
        <f>H103*(1-0)</f>
        <v>0</v>
      </c>
      <c r="AQ103" s="64" t="s">
        <v>131</v>
      </c>
      <c r="AV103" s="41">
        <f t="shared" si="135"/>
        <v>0</v>
      </c>
      <c r="AW103" s="41">
        <f t="shared" si="136"/>
        <v>0</v>
      </c>
      <c r="AX103" s="41">
        <f t="shared" si="137"/>
        <v>0</v>
      </c>
      <c r="AY103" s="66" t="s">
        <v>499</v>
      </c>
      <c r="AZ103" s="66" t="s">
        <v>511</v>
      </c>
      <c r="BA103" s="59" t="s">
        <v>512</v>
      </c>
      <c r="BC103" s="41">
        <f t="shared" si="138"/>
        <v>0</v>
      </c>
      <c r="BD103" s="41">
        <f t="shared" si="139"/>
        <v>0</v>
      </c>
      <c r="BE103" s="41">
        <v>0</v>
      </c>
      <c r="BF103" s="41">
        <f t="shared" si="140"/>
        <v>7.5</v>
      </c>
      <c r="BH103" s="54">
        <f t="shared" si="141"/>
        <v>0</v>
      </c>
      <c r="BI103" s="54">
        <f t="shared" si="142"/>
        <v>0</v>
      </c>
      <c r="BJ103" s="54">
        <f t="shared" si="143"/>
        <v>0</v>
      </c>
      <c r="BK103" s="54" t="s">
        <v>517</v>
      </c>
      <c r="BL103" s="41">
        <v>96</v>
      </c>
    </row>
    <row r="104" spans="1:64" ht="30" customHeight="1">
      <c r="A104" s="110" t="s">
        <v>199</v>
      </c>
      <c r="B104" s="130"/>
      <c r="C104" s="130" t="s">
        <v>305</v>
      </c>
      <c r="D104" s="261" t="s">
        <v>418</v>
      </c>
      <c r="E104" s="262"/>
      <c r="F104" s="111" t="s">
        <v>458</v>
      </c>
      <c r="G104" s="112">
        <v>5</v>
      </c>
      <c r="H104" s="134">
        <v>0</v>
      </c>
      <c r="I104" s="137">
        <f t="shared" si="120"/>
        <v>0</v>
      </c>
      <c r="J104" s="137">
        <f t="shared" si="121"/>
        <v>0</v>
      </c>
      <c r="K104" s="112">
        <f t="shared" si="122"/>
        <v>0</v>
      </c>
      <c r="L104" s="112">
        <v>0</v>
      </c>
      <c r="M104" s="112">
        <f t="shared" si="123"/>
        <v>0</v>
      </c>
      <c r="N104" s="113" t="s">
        <v>585</v>
      </c>
      <c r="O104" s="15"/>
      <c r="Z104" s="41">
        <f t="shared" si="124"/>
        <v>0</v>
      </c>
      <c r="AB104" s="41">
        <f t="shared" si="125"/>
        <v>0</v>
      </c>
      <c r="AC104" s="41">
        <f t="shared" si="126"/>
        <v>0</v>
      </c>
      <c r="AD104" s="41">
        <f t="shared" si="127"/>
        <v>0</v>
      </c>
      <c r="AE104" s="41">
        <f t="shared" si="128"/>
        <v>0</v>
      </c>
      <c r="AF104" s="41">
        <f t="shared" si="129"/>
        <v>0</v>
      </c>
      <c r="AG104" s="41">
        <f t="shared" si="130"/>
        <v>0</v>
      </c>
      <c r="AH104" s="41">
        <f t="shared" si="131"/>
        <v>0</v>
      </c>
      <c r="AI104" s="59"/>
      <c r="AJ104" s="54">
        <f t="shared" si="132"/>
        <v>0</v>
      </c>
      <c r="AK104" s="54">
        <f t="shared" si="133"/>
        <v>0</v>
      </c>
      <c r="AL104" s="54">
        <f t="shared" si="134"/>
        <v>0</v>
      </c>
      <c r="AN104" s="41">
        <v>21</v>
      </c>
      <c r="AO104" s="41">
        <f>H104*0</f>
        <v>0</v>
      </c>
      <c r="AP104" s="41">
        <f>H104*(1-0)</f>
        <v>0</v>
      </c>
      <c r="AQ104" s="64" t="s">
        <v>131</v>
      </c>
      <c r="AV104" s="41">
        <f t="shared" si="135"/>
        <v>0</v>
      </c>
      <c r="AW104" s="41">
        <f t="shared" si="136"/>
        <v>0</v>
      </c>
      <c r="AX104" s="41">
        <f t="shared" si="137"/>
        <v>0</v>
      </c>
      <c r="AY104" s="66" t="s">
        <v>499</v>
      </c>
      <c r="AZ104" s="66" t="s">
        <v>511</v>
      </c>
      <c r="BA104" s="59" t="s">
        <v>512</v>
      </c>
      <c r="BC104" s="41">
        <f t="shared" si="138"/>
        <v>0</v>
      </c>
      <c r="BD104" s="41">
        <f t="shared" si="139"/>
        <v>0</v>
      </c>
      <c r="BE104" s="41">
        <v>0</v>
      </c>
      <c r="BF104" s="41">
        <f t="shared" si="140"/>
        <v>0</v>
      </c>
      <c r="BH104" s="54">
        <f t="shared" si="141"/>
        <v>0</v>
      </c>
      <c r="BI104" s="54">
        <f t="shared" si="142"/>
        <v>0</v>
      </c>
      <c r="BJ104" s="54">
        <f t="shared" si="143"/>
        <v>0</v>
      </c>
      <c r="BK104" s="54" t="s">
        <v>517</v>
      </c>
      <c r="BL104" s="41">
        <v>96</v>
      </c>
    </row>
    <row r="105" spans="1:64" ht="30" customHeight="1">
      <c r="A105" s="110" t="s">
        <v>200</v>
      </c>
      <c r="B105" s="130"/>
      <c r="C105" s="130" t="s">
        <v>306</v>
      </c>
      <c r="D105" s="261" t="s">
        <v>419</v>
      </c>
      <c r="E105" s="262"/>
      <c r="F105" s="111" t="s">
        <v>456</v>
      </c>
      <c r="G105" s="112">
        <v>1</v>
      </c>
      <c r="H105" s="134">
        <v>0</v>
      </c>
      <c r="I105" s="137">
        <f t="shared" si="120"/>
        <v>0</v>
      </c>
      <c r="J105" s="137">
        <f t="shared" si="121"/>
        <v>0</v>
      </c>
      <c r="K105" s="112">
        <f t="shared" si="122"/>
        <v>0</v>
      </c>
      <c r="L105" s="112">
        <v>0.07719</v>
      </c>
      <c r="M105" s="112">
        <f t="shared" si="123"/>
        <v>0.07719</v>
      </c>
      <c r="N105" s="113" t="s">
        <v>585</v>
      </c>
      <c r="O105" s="15"/>
      <c r="Z105" s="41">
        <f t="shared" si="124"/>
        <v>0</v>
      </c>
      <c r="AB105" s="41">
        <f t="shared" si="125"/>
        <v>0</v>
      </c>
      <c r="AC105" s="41">
        <f t="shared" si="126"/>
        <v>0</v>
      </c>
      <c r="AD105" s="41">
        <f t="shared" si="127"/>
        <v>0</v>
      </c>
      <c r="AE105" s="41">
        <f t="shared" si="128"/>
        <v>0</v>
      </c>
      <c r="AF105" s="41">
        <f t="shared" si="129"/>
        <v>0</v>
      </c>
      <c r="AG105" s="41">
        <f t="shared" si="130"/>
        <v>0</v>
      </c>
      <c r="AH105" s="41">
        <f t="shared" si="131"/>
        <v>0</v>
      </c>
      <c r="AI105" s="59"/>
      <c r="AJ105" s="54">
        <f t="shared" si="132"/>
        <v>0</v>
      </c>
      <c r="AK105" s="54">
        <f t="shared" si="133"/>
        <v>0</v>
      </c>
      <c r="AL105" s="54">
        <f t="shared" si="134"/>
        <v>0</v>
      </c>
      <c r="AN105" s="41">
        <v>21</v>
      </c>
      <c r="AO105" s="41">
        <f>H105*0.133669724770642</f>
        <v>0</v>
      </c>
      <c r="AP105" s="41">
        <f>H105*(1-0.133669724770642)</f>
        <v>0</v>
      </c>
      <c r="AQ105" s="64" t="s">
        <v>131</v>
      </c>
      <c r="AV105" s="41">
        <f t="shared" si="135"/>
        <v>0</v>
      </c>
      <c r="AW105" s="41">
        <f t="shared" si="136"/>
        <v>0</v>
      </c>
      <c r="AX105" s="41">
        <f t="shared" si="137"/>
        <v>0</v>
      </c>
      <c r="AY105" s="66" t="s">
        <v>499</v>
      </c>
      <c r="AZ105" s="66" t="s">
        <v>511</v>
      </c>
      <c r="BA105" s="59" t="s">
        <v>512</v>
      </c>
      <c r="BC105" s="41">
        <f t="shared" si="138"/>
        <v>0</v>
      </c>
      <c r="BD105" s="41">
        <f t="shared" si="139"/>
        <v>0</v>
      </c>
      <c r="BE105" s="41">
        <v>0</v>
      </c>
      <c r="BF105" s="41">
        <f t="shared" si="140"/>
        <v>0.07719</v>
      </c>
      <c r="BH105" s="54">
        <f t="shared" si="141"/>
        <v>0</v>
      </c>
      <c r="BI105" s="54">
        <f t="shared" si="142"/>
        <v>0</v>
      </c>
      <c r="BJ105" s="54">
        <f t="shared" si="143"/>
        <v>0</v>
      </c>
      <c r="BK105" s="54" t="s">
        <v>517</v>
      </c>
      <c r="BL105" s="41">
        <v>96</v>
      </c>
    </row>
    <row r="106" spans="1:64" ht="30" customHeight="1">
      <c r="A106" s="110" t="s">
        <v>201</v>
      </c>
      <c r="B106" s="130"/>
      <c r="C106" s="130" t="s">
        <v>307</v>
      </c>
      <c r="D106" s="261" t="s">
        <v>420</v>
      </c>
      <c r="E106" s="262"/>
      <c r="F106" s="111" t="s">
        <v>456</v>
      </c>
      <c r="G106" s="112">
        <v>47.1</v>
      </c>
      <c r="H106" s="134">
        <v>0</v>
      </c>
      <c r="I106" s="137">
        <f t="shared" si="120"/>
        <v>0</v>
      </c>
      <c r="J106" s="137">
        <f t="shared" si="121"/>
        <v>0</v>
      </c>
      <c r="K106" s="112">
        <f t="shared" si="122"/>
        <v>0</v>
      </c>
      <c r="L106" s="112">
        <v>0.05132</v>
      </c>
      <c r="M106" s="112">
        <f t="shared" si="123"/>
        <v>2.417172</v>
      </c>
      <c r="N106" s="113" t="s">
        <v>585</v>
      </c>
      <c r="O106" s="15"/>
      <c r="Z106" s="41">
        <f t="shared" si="124"/>
        <v>0</v>
      </c>
      <c r="AB106" s="41">
        <f t="shared" si="125"/>
        <v>0</v>
      </c>
      <c r="AC106" s="41">
        <f t="shared" si="126"/>
        <v>0</v>
      </c>
      <c r="AD106" s="41">
        <f t="shared" si="127"/>
        <v>0</v>
      </c>
      <c r="AE106" s="41">
        <f t="shared" si="128"/>
        <v>0</v>
      </c>
      <c r="AF106" s="41">
        <f t="shared" si="129"/>
        <v>0</v>
      </c>
      <c r="AG106" s="41">
        <f t="shared" si="130"/>
        <v>0</v>
      </c>
      <c r="AH106" s="41">
        <f t="shared" si="131"/>
        <v>0</v>
      </c>
      <c r="AI106" s="59"/>
      <c r="AJ106" s="54">
        <f t="shared" si="132"/>
        <v>0</v>
      </c>
      <c r="AK106" s="54">
        <f t="shared" si="133"/>
        <v>0</v>
      </c>
      <c r="AL106" s="54">
        <f t="shared" si="134"/>
        <v>0</v>
      </c>
      <c r="AN106" s="41">
        <v>21</v>
      </c>
      <c r="AO106" s="41">
        <f>H106*0.0390277777777778</f>
        <v>0</v>
      </c>
      <c r="AP106" s="41">
        <f>H106*(1-0.0390277777777778)</f>
        <v>0</v>
      </c>
      <c r="AQ106" s="64" t="s">
        <v>131</v>
      </c>
      <c r="AV106" s="41">
        <f t="shared" si="135"/>
        <v>0</v>
      </c>
      <c r="AW106" s="41">
        <f t="shared" si="136"/>
        <v>0</v>
      </c>
      <c r="AX106" s="41">
        <f t="shared" si="137"/>
        <v>0</v>
      </c>
      <c r="AY106" s="66" t="s">
        <v>499</v>
      </c>
      <c r="AZ106" s="66" t="s">
        <v>511</v>
      </c>
      <c r="BA106" s="59" t="s">
        <v>512</v>
      </c>
      <c r="BC106" s="41">
        <f t="shared" si="138"/>
        <v>0</v>
      </c>
      <c r="BD106" s="41">
        <f t="shared" si="139"/>
        <v>0</v>
      </c>
      <c r="BE106" s="41">
        <v>0</v>
      </c>
      <c r="BF106" s="41">
        <f t="shared" si="140"/>
        <v>2.417172</v>
      </c>
      <c r="BH106" s="54">
        <f t="shared" si="141"/>
        <v>0</v>
      </c>
      <c r="BI106" s="54">
        <f t="shared" si="142"/>
        <v>0</v>
      </c>
      <c r="BJ106" s="54">
        <f t="shared" si="143"/>
        <v>0</v>
      </c>
      <c r="BK106" s="54" t="s">
        <v>517</v>
      </c>
      <c r="BL106" s="41">
        <v>96</v>
      </c>
    </row>
    <row r="107" spans="1:64" ht="30" customHeight="1">
      <c r="A107" s="110" t="s">
        <v>202</v>
      </c>
      <c r="B107" s="130"/>
      <c r="C107" s="130" t="s">
        <v>308</v>
      </c>
      <c r="D107" s="261" t="s">
        <v>421</v>
      </c>
      <c r="E107" s="262"/>
      <c r="F107" s="111" t="s">
        <v>460</v>
      </c>
      <c r="G107" s="112">
        <v>1</v>
      </c>
      <c r="H107" s="134">
        <v>0</v>
      </c>
      <c r="I107" s="137">
        <f t="shared" si="120"/>
        <v>0</v>
      </c>
      <c r="J107" s="137">
        <f t="shared" si="121"/>
        <v>0</v>
      </c>
      <c r="K107" s="112">
        <f t="shared" si="122"/>
        <v>0</v>
      </c>
      <c r="L107" s="112">
        <v>0</v>
      </c>
      <c r="M107" s="112">
        <f t="shared" si="123"/>
        <v>0</v>
      </c>
      <c r="N107" s="113" t="s">
        <v>585</v>
      </c>
      <c r="O107" s="15"/>
      <c r="Z107" s="41">
        <f t="shared" si="124"/>
        <v>0</v>
      </c>
      <c r="AB107" s="41">
        <f t="shared" si="125"/>
        <v>0</v>
      </c>
      <c r="AC107" s="41">
        <f t="shared" si="126"/>
        <v>0</v>
      </c>
      <c r="AD107" s="41">
        <f t="shared" si="127"/>
        <v>0</v>
      </c>
      <c r="AE107" s="41">
        <f t="shared" si="128"/>
        <v>0</v>
      </c>
      <c r="AF107" s="41">
        <f t="shared" si="129"/>
        <v>0</v>
      </c>
      <c r="AG107" s="41">
        <f t="shared" si="130"/>
        <v>0</v>
      </c>
      <c r="AH107" s="41">
        <f t="shared" si="131"/>
        <v>0</v>
      </c>
      <c r="AI107" s="59"/>
      <c r="AJ107" s="54">
        <f t="shared" si="132"/>
        <v>0</v>
      </c>
      <c r="AK107" s="54">
        <f t="shared" si="133"/>
        <v>0</v>
      </c>
      <c r="AL107" s="54">
        <f t="shared" si="134"/>
        <v>0</v>
      </c>
      <c r="AN107" s="41">
        <v>21</v>
      </c>
      <c r="AO107" s="41">
        <f>H107*0</f>
        <v>0</v>
      </c>
      <c r="AP107" s="41">
        <f>H107*(1-0)</f>
        <v>0</v>
      </c>
      <c r="AQ107" s="64" t="s">
        <v>131</v>
      </c>
      <c r="AV107" s="41">
        <f t="shared" si="135"/>
        <v>0</v>
      </c>
      <c r="AW107" s="41">
        <f t="shared" si="136"/>
        <v>0</v>
      </c>
      <c r="AX107" s="41">
        <f t="shared" si="137"/>
        <v>0</v>
      </c>
      <c r="AY107" s="66" t="s">
        <v>499</v>
      </c>
      <c r="AZ107" s="66" t="s">
        <v>511</v>
      </c>
      <c r="BA107" s="59" t="s">
        <v>512</v>
      </c>
      <c r="BC107" s="41">
        <f t="shared" si="138"/>
        <v>0</v>
      </c>
      <c r="BD107" s="41">
        <f t="shared" si="139"/>
        <v>0</v>
      </c>
      <c r="BE107" s="41">
        <v>0</v>
      </c>
      <c r="BF107" s="41">
        <f t="shared" si="140"/>
        <v>0</v>
      </c>
      <c r="BH107" s="54">
        <f t="shared" si="141"/>
        <v>0</v>
      </c>
      <c r="BI107" s="54">
        <f t="shared" si="142"/>
        <v>0</v>
      </c>
      <c r="BJ107" s="54">
        <f t="shared" si="143"/>
        <v>0</v>
      </c>
      <c r="BK107" s="54" t="s">
        <v>517</v>
      </c>
      <c r="BL107" s="41">
        <v>96</v>
      </c>
    </row>
    <row r="108" spans="1:47" ht="30" customHeight="1">
      <c r="A108" s="114"/>
      <c r="B108" s="131"/>
      <c r="C108" s="131" t="s">
        <v>92</v>
      </c>
      <c r="D108" s="263" t="s">
        <v>116</v>
      </c>
      <c r="E108" s="264"/>
      <c r="F108" s="116" t="s">
        <v>71</v>
      </c>
      <c r="G108" s="116" t="s">
        <v>71</v>
      </c>
      <c r="H108" s="116" t="s">
        <v>71</v>
      </c>
      <c r="I108" s="138" t="s">
        <v>71</v>
      </c>
      <c r="J108" s="138" t="s">
        <v>71</v>
      </c>
      <c r="K108" s="117">
        <f>SUM(K109:K113)</f>
        <v>0</v>
      </c>
      <c r="L108" s="118"/>
      <c r="M108" s="117">
        <f>SUM(M109:M113)</f>
        <v>1.8996220000000001</v>
      </c>
      <c r="N108" s="119"/>
      <c r="O108" s="15"/>
      <c r="AI108" s="59"/>
      <c r="AS108" s="69">
        <f>SUM(AJ109:AJ113)</f>
        <v>0</v>
      </c>
      <c r="AT108" s="69">
        <f>SUM(AK109:AK113)</f>
        <v>0</v>
      </c>
      <c r="AU108" s="69">
        <f>SUM(AL109:AL113)</f>
        <v>0</v>
      </c>
    </row>
    <row r="109" spans="1:64" ht="30" customHeight="1">
      <c r="A109" s="110" t="s">
        <v>203</v>
      </c>
      <c r="B109" s="130"/>
      <c r="C109" s="130" t="s">
        <v>309</v>
      </c>
      <c r="D109" s="261" t="s">
        <v>422</v>
      </c>
      <c r="E109" s="262"/>
      <c r="F109" s="111" t="s">
        <v>456</v>
      </c>
      <c r="G109" s="112">
        <v>17.73</v>
      </c>
      <c r="H109" s="134">
        <v>0</v>
      </c>
      <c r="I109" s="137">
        <f>G109*AO109</f>
        <v>0</v>
      </c>
      <c r="J109" s="137">
        <f>G109*AP109</f>
        <v>0</v>
      </c>
      <c r="K109" s="112">
        <f>G109*H109</f>
        <v>0</v>
      </c>
      <c r="L109" s="112">
        <v>0.068</v>
      </c>
      <c r="M109" s="112">
        <f>G109*L109</f>
        <v>1.20564</v>
      </c>
      <c r="N109" s="113" t="s">
        <v>585</v>
      </c>
      <c r="O109" s="15"/>
      <c r="Z109" s="41">
        <f>IF(AQ109="5",BJ109,0)</f>
        <v>0</v>
      </c>
      <c r="AB109" s="41">
        <f>IF(AQ109="1",BH109,0)</f>
        <v>0</v>
      </c>
      <c r="AC109" s="41">
        <f>IF(AQ109="1",BI109,0)</f>
        <v>0</v>
      </c>
      <c r="AD109" s="41">
        <f>IF(AQ109="7",BH109,0)</f>
        <v>0</v>
      </c>
      <c r="AE109" s="41">
        <f>IF(AQ109="7",BI109,0)</f>
        <v>0</v>
      </c>
      <c r="AF109" s="41">
        <f>IF(AQ109="2",BH109,0)</f>
        <v>0</v>
      </c>
      <c r="AG109" s="41">
        <f>IF(AQ109="2",BI109,0)</f>
        <v>0</v>
      </c>
      <c r="AH109" s="41">
        <f>IF(AQ109="0",BJ109,0)</f>
        <v>0</v>
      </c>
      <c r="AI109" s="59"/>
      <c r="AJ109" s="54">
        <f>IF(AN109=0,K109,0)</f>
        <v>0</v>
      </c>
      <c r="AK109" s="54">
        <f>IF(AN109=15,K109,0)</f>
        <v>0</v>
      </c>
      <c r="AL109" s="54">
        <f>IF(AN109=21,K109,0)</f>
        <v>0</v>
      </c>
      <c r="AN109" s="41">
        <v>21</v>
      </c>
      <c r="AO109" s="41">
        <f>H109*0</f>
        <v>0</v>
      </c>
      <c r="AP109" s="41">
        <f>H109*(1-0)</f>
        <v>0</v>
      </c>
      <c r="AQ109" s="64" t="s">
        <v>131</v>
      </c>
      <c r="AV109" s="41">
        <f>AW109+AX109</f>
        <v>0</v>
      </c>
      <c r="AW109" s="41">
        <f>G109*AO109</f>
        <v>0</v>
      </c>
      <c r="AX109" s="41">
        <f>G109*AP109</f>
        <v>0</v>
      </c>
      <c r="AY109" s="66" t="s">
        <v>500</v>
      </c>
      <c r="AZ109" s="66" t="s">
        <v>511</v>
      </c>
      <c r="BA109" s="59" t="s">
        <v>512</v>
      </c>
      <c r="BC109" s="41">
        <f>AW109+AX109</f>
        <v>0</v>
      </c>
      <c r="BD109" s="41">
        <f>H109/(100-BE109)*100</f>
        <v>0</v>
      </c>
      <c r="BE109" s="41">
        <v>0</v>
      </c>
      <c r="BF109" s="41">
        <f>M109</f>
        <v>1.20564</v>
      </c>
      <c r="BH109" s="54">
        <f>G109*AO109</f>
        <v>0</v>
      </c>
      <c r="BI109" s="54">
        <f>G109*AP109</f>
        <v>0</v>
      </c>
      <c r="BJ109" s="54">
        <f>G109*H109</f>
        <v>0</v>
      </c>
      <c r="BK109" s="54" t="s">
        <v>517</v>
      </c>
      <c r="BL109" s="41">
        <v>97</v>
      </c>
    </row>
    <row r="110" spans="1:64" ht="30" customHeight="1">
      <c r="A110" s="110" t="s">
        <v>204</v>
      </c>
      <c r="B110" s="130"/>
      <c r="C110" s="130" t="s">
        <v>310</v>
      </c>
      <c r="D110" s="261" t="s">
        <v>423</v>
      </c>
      <c r="E110" s="262"/>
      <c r="F110" s="111" t="s">
        <v>456</v>
      </c>
      <c r="G110" s="112">
        <v>0.84</v>
      </c>
      <c r="H110" s="134">
        <v>0</v>
      </c>
      <c r="I110" s="137">
        <f>G110*AO110</f>
        <v>0</v>
      </c>
      <c r="J110" s="137">
        <f>G110*AP110</f>
        <v>0</v>
      </c>
      <c r="K110" s="112">
        <f>G110*H110</f>
        <v>0</v>
      </c>
      <c r="L110" s="112">
        <v>0.16555</v>
      </c>
      <c r="M110" s="112">
        <f>G110*L110</f>
        <v>0.139062</v>
      </c>
      <c r="N110" s="113" t="s">
        <v>585</v>
      </c>
      <c r="O110" s="15"/>
      <c r="Z110" s="41">
        <f>IF(AQ110="5",BJ110,0)</f>
        <v>0</v>
      </c>
      <c r="AB110" s="41">
        <f>IF(AQ110="1",BH110,0)</f>
        <v>0</v>
      </c>
      <c r="AC110" s="41">
        <f>IF(AQ110="1",BI110,0)</f>
        <v>0</v>
      </c>
      <c r="AD110" s="41">
        <f>IF(AQ110="7",BH110,0)</f>
        <v>0</v>
      </c>
      <c r="AE110" s="41">
        <f>IF(AQ110="7",BI110,0)</f>
        <v>0</v>
      </c>
      <c r="AF110" s="41">
        <f>IF(AQ110="2",BH110,0)</f>
        <v>0</v>
      </c>
      <c r="AG110" s="41">
        <f>IF(AQ110="2",BI110,0)</f>
        <v>0</v>
      </c>
      <c r="AH110" s="41">
        <f>IF(AQ110="0",BJ110,0)</f>
        <v>0</v>
      </c>
      <c r="AI110" s="59"/>
      <c r="AJ110" s="54">
        <f>IF(AN110=0,K110,0)</f>
        <v>0</v>
      </c>
      <c r="AK110" s="54">
        <f>IF(AN110=15,K110,0)</f>
        <v>0</v>
      </c>
      <c r="AL110" s="54">
        <f>IF(AN110=21,K110,0)</f>
        <v>0</v>
      </c>
      <c r="AN110" s="41">
        <v>21</v>
      </c>
      <c r="AO110" s="41">
        <f>H110*0.1025423815621</f>
        <v>0</v>
      </c>
      <c r="AP110" s="41">
        <f>H110*(1-0.1025423815621)</f>
        <v>0</v>
      </c>
      <c r="AQ110" s="64" t="s">
        <v>131</v>
      </c>
      <c r="AV110" s="41">
        <f>AW110+AX110</f>
        <v>0</v>
      </c>
      <c r="AW110" s="41">
        <f>G110*AO110</f>
        <v>0</v>
      </c>
      <c r="AX110" s="41">
        <f>G110*AP110</f>
        <v>0</v>
      </c>
      <c r="AY110" s="66" t="s">
        <v>500</v>
      </c>
      <c r="AZ110" s="66" t="s">
        <v>511</v>
      </c>
      <c r="BA110" s="59" t="s">
        <v>512</v>
      </c>
      <c r="BC110" s="41">
        <f>AW110+AX110</f>
        <v>0</v>
      </c>
      <c r="BD110" s="41">
        <f>H110/(100-BE110)*100</f>
        <v>0</v>
      </c>
      <c r="BE110" s="41">
        <v>0</v>
      </c>
      <c r="BF110" s="41">
        <f>M110</f>
        <v>0.139062</v>
      </c>
      <c r="BH110" s="54">
        <f>G110*AO110</f>
        <v>0</v>
      </c>
      <c r="BI110" s="54">
        <f>G110*AP110</f>
        <v>0</v>
      </c>
      <c r="BJ110" s="54">
        <f>G110*H110</f>
        <v>0</v>
      </c>
      <c r="BK110" s="54" t="s">
        <v>517</v>
      </c>
      <c r="BL110" s="41">
        <v>97</v>
      </c>
    </row>
    <row r="111" spans="1:64" ht="30" customHeight="1">
      <c r="A111" s="110" t="s">
        <v>205</v>
      </c>
      <c r="B111" s="130"/>
      <c r="C111" s="130" t="s">
        <v>311</v>
      </c>
      <c r="D111" s="261" t="s">
        <v>424</v>
      </c>
      <c r="E111" s="262"/>
      <c r="F111" s="111" t="s">
        <v>457</v>
      </c>
      <c r="G111" s="112">
        <v>20</v>
      </c>
      <c r="H111" s="134">
        <v>0</v>
      </c>
      <c r="I111" s="137">
        <f>G111*AO111</f>
        <v>0</v>
      </c>
      <c r="J111" s="137">
        <f>G111*AP111</f>
        <v>0</v>
      </c>
      <c r="K111" s="112">
        <f>G111*H111</f>
        <v>0</v>
      </c>
      <c r="L111" s="112">
        <v>0.00449</v>
      </c>
      <c r="M111" s="112">
        <f>G111*L111</f>
        <v>0.0898</v>
      </c>
      <c r="N111" s="113" t="s">
        <v>585</v>
      </c>
      <c r="O111" s="15"/>
      <c r="Z111" s="41">
        <f>IF(AQ111="5",BJ111,0)</f>
        <v>0</v>
      </c>
      <c r="AB111" s="41">
        <f>IF(AQ111="1",BH111,0)</f>
        <v>0</v>
      </c>
      <c r="AC111" s="41">
        <f>IF(AQ111="1",BI111,0)</f>
        <v>0</v>
      </c>
      <c r="AD111" s="41">
        <f>IF(AQ111="7",BH111,0)</f>
        <v>0</v>
      </c>
      <c r="AE111" s="41">
        <f>IF(AQ111="7",BI111,0)</f>
        <v>0</v>
      </c>
      <c r="AF111" s="41">
        <f>IF(AQ111="2",BH111,0)</f>
        <v>0</v>
      </c>
      <c r="AG111" s="41">
        <f>IF(AQ111="2",BI111,0)</f>
        <v>0</v>
      </c>
      <c r="AH111" s="41">
        <f>IF(AQ111="0",BJ111,0)</f>
        <v>0</v>
      </c>
      <c r="AI111" s="59"/>
      <c r="AJ111" s="54">
        <f>IF(AN111=0,K111,0)</f>
        <v>0</v>
      </c>
      <c r="AK111" s="54">
        <f>IF(AN111=15,K111,0)</f>
        <v>0</v>
      </c>
      <c r="AL111" s="54">
        <f>IF(AN111=21,K111,0)</f>
        <v>0</v>
      </c>
      <c r="AN111" s="41">
        <v>21</v>
      </c>
      <c r="AO111" s="41">
        <f>H111*0.178659370725034</f>
        <v>0</v>
      </c>
      <c r="AP111" s="41">
        <f>H111*(1-0.178659370725034)</f>
        <v>0</v>
      </c>
      <c r="AQ111" s="64" t="s">
        <v>131</v>
      </c>
      <c r="AV111" s="41">
        <f>AW111+AX111</f>
        <v>0</v>
      </c>
      <c r="AW111" s="41">
        <f>G111*AO111</f>
        <v>0</v>
      </c>
      <c r="AX111" s="41">
        <f>G111*AP111</f>
        <v>0</v>
      </c>
      <c r="AY111" s="66" t="s">
        <v>500</v>
      </c>
      <c r="AZ111" s="66" t="s">
        <v>511</v>
      </c>
      <c r="BA111" s="59" t="s">
        <v>512</v>
      </c>
      <c r="BC111" s="41">
        <f>AW111+AX111</f>
        <v>0</v>
      </c>
      <c r="BD111" s="41">
        <f>H111/(100-BE111)*100</f>
        <v>0</v>
      </c>
      <c r="BE111" s="41">
        <v>0</v>
      </c>
      <c r="BF111" s="41">
        <f>M111</f>
        <v>0.0898</v>
      </c>
      <c r="BH111" s="54">
        <f>G111*AO111</f>
        <v>0</v>
      </c>
      <c r="BI111" s="54">
        <f>G111*AP111</f>
        <v>0</v>
      </c>
      <c r="BJ111" s="54">
        <f>G111*H111</f>
        <v>0</v>
      </c>
      <c r="BK111" s="54" t="s">
        <v>517</v>
      </c>
      <c r="BL111" s="41">
        <v>97</v>
      </c>
    </row>
    <row r="112" spans="1:64" ht="30" customHeight="1">
      <c r="A112" s="110" t="s">
        <v>206</v>
      </c>
      <c r="B112" s="130"/>
      <c r="C112" s="130" t="s">
        <v>312</v>
      </c>
      <c r="D112" s="261" t="s">
        <v>425</v>
      </c>
      <c r="E112" s="262"/>
      <c r="F112" s="111" t="s">
        <v>458</v>
      </c>
      <c r="G112" s="112">
        <v>3</v>
      </c>
      <c r="H112" s="134">
        <v>0</v>
      </c>
      <c r="I112" s="137">
        <f>G112*AO112</f>
        <v>0</v>
      </c>
      <c r="J112" s="137">
        <f>G112*AP112</f>
        <v>0</v>
      </c>
      <c r="K112" s="112">
        <f>G112*H112</f>
        <v>0</v>
      </c>
      <c r="L112" s="112">
        <v>0.00108</v>
      </c>
      <c r="M112" s="112">
        <f>G112*L112</f>
        <v>0.00324</v>
      </c>
      <c r="N112" s="113" t="s">
        <v>585</v>
      </c>
      <c r="O112" s="15"/>
      <c r="Z112" s="41">
        <f>IF(AQ112="5",BJ112,0)</f>
        <v>0</v>
      </c>
      <c r="AB112" s="41">
        <f>IF(AQ112="1",BH112,0)</f>
        <v>0</v>
      </c>
      <c r="AC112" s="41">
        <f>IF(AQ112="1",BI112,0)</f>
        <v>0</v>
      </c>
      <c r="AD112" s="41">
        <f>IF(AQ112="7",BH112,0)</f>
        <v>0</v>
      </c>
      <c r="AE112" s="41">
        <f>IF(AQ112="7",BI112,0)</f>
        <v>0</v>
      </c>
      <c r="AF112" s="41">
        <f>IF(AQ112="2",BH112,0)</f>
        <v>0</v>
      </c>
      <c r="AG112" s="41">
        <f>IF(AQ112="2",BI112,0)</f>
        <v>0</v>
      </c>
      <c r="AH112" s="41">
        <f>IF(AQ112="0",BJ112,0)</f>
        <v>0</v>
      </c>
      <c r="AI112" s="59"/>
      <c r="AJ112" s="54">
        <f>IF(AN112=0,K112,0)</f>
        <v>0</v>
      </c>
      <c r="AK112" s="54">
        <f>IF(AN112=15,K112,0)</f>
        <v>0</v>
      </c>
      <c r="AL112" s="54">
        <f>IF(AN112=21,K112,0)</f>
        <v>0</v>
      </c>
      <c r="AN112" s="41">
        <v>21</v>
      </c>
      <c r="AO112" s="41">
        <f>H112*0.0378761061946903</f>
        <v>0</v>
      </c>
      <c r="AP112" s="41">
        <f>H112*(1-0.0378761061946903)</f>
        <v>0</v>
      </c>
      <c r="AQ112" s="64" t="s">
        <v>131</v>
      </c>
      <c r="AV112" s="41">
        <f>AW112+AX112</f>
        <v>0</v>
      </c>
      <c r="AW112" s="41">
        <f>G112*AO112</f>
        <v>0</v>
      </c>
      <c r="AX112" s="41">
        <f>G112*AP112</f>
        <v>0</v>
      </c>
      <c r="AY112" s="66" t="s">
        <v>500</v>
      </c>
      <c r="AZ112" s="66" t="s">
        <v>511</v>
      </c>
      <c r="BA112" s="59" t="s">
        <v>512</v>
      </c>
      <c r="BC112" s="41">
        <f>AW112+AX112</f>
        <v>0</v>
      </c>
      <c r="BD112" s="41">
        <f>H112/(100-BE112)*100</f>
        <v>0</v>
      </c>
      <c r="BE112" s="41">
        <v>0</v>
      </c>
      <c r="BF112" s="41">
        <f>M112</f>
        <v>0.00324</v>
      </c>
      <c r="BH112" s="54">
        <f>G112*AO112</f>
        <v>0</v>
      </c>
      <c r="BI112" s="54">
        <f>G112*AP112</f>
        <v>0</v>
      </c>
      <c r="BJ112" s="54">
        <f>G112*H112</f>
        <v>0</v>
      </c>
      <c r="BK112" s="54" t="s">
        <v>517</v>
      </c>
      <c r="BL112" s="41">
        <v>97</v>
      </c>
    </row>
    <row r="113" spans="1:64" ht="30" customHeight="1">
      <c r="A113" s="110" t="s">
        <v>207</v>
      </c>
      <c r="B113" s="130"/>
      <c r="C113" s="130" t="s">
        <v>313</v>
      </c>
      <c r="D113" s="261" t="s">
        <v>426</v>
      </c>
      <c r="E113" s="262"/>
      <c r="F113" s="111" t="s">
        <v>457</v>
      </c>
      <c r="G113" s="112">
        <v>12</v>
      </c>
      <c r="H113" s="134">
        <v>0</v>
      </c>
      <c r="I113" s="137">
        <f>G113*AO113</f>
        <v>0</v>
      </c>
      <c r="J113" s="137">
        <f>G113*AP113</f>
        <v>0</v>
      </c>
      <c r="K113" s="112">
        <f>G113*H113</f>
        <v>0</v>
      </c>
      <c r="L113" s="112">
        <v>0.03849</v>
      </c>
      <c r="M113" s="112">
        <f>G113*L113</f>
        <v>0.46188000000000007</v>
      </c>
      <c r="N113" s="113" t="s">
        <v>585</v>
      </c>
      <c r="O113" s="15"/>
      <c r="Z113" s="41">
        <f>IF(AQ113="5",BJ113,0)</f>
        <v>0</v>
      </c>
      <c r="AB113" s="41">
        <f>IF(AQ113="1",BH113,0)</f>
        <v>0</v>
      </c>
      <c r="AC113" s="41">
        <f>IF(AQ113="1",BI113,0)</f>
        <v>0</v>
      </c>
      <c r="AD113" s="41">
        <f>IF(AQ113="7",BH113,0)</f>
        <v>0</v>
      </c>
      <c r="AE113" s="41">
        <f>IF(AQ113="7",BI113,0)</f>
        <v>0</v>
      </c>
      <c r="AF113" s="41">
        <f>IF(AQ113="2",BH113,0)</f>
        <v>0</v>
      </c>
      <c r="AG113" s="41">
        <f>IF(AQ113="2",BI113,0)</f>
        <v>0</v>
      </c>
      <c r="AH113" s="41">
        <f>IF(AQ113="0",BJ113,0)</f>
        <v>0</v>
      </c>
      <c r="AI113" s="59"/>
      <c r="AJ113" s="54">
        <f>IF(AN113=0,K113,0)</f>
        <v>0</v>
      </c>
      <c r="AK113" s="54">
        <f>IF(AN113=15,K113,0)</f>
        <v>0</v>
      </c>
      <c r="AL113" s="54">
        <f>IF(AN113=21,K113,0)</f>
        <v>0</v>
      </c>
      <c r="AN113" s="41">
        <v>21</v>
      </c>
      <c r="AO113" s="41">
        <f>H113*0.0801422141039859</f>
        <v>0</v>
      </c>
      <c r="AP113" s="41">
        <f>H113*(1-0.0801422141039859)</f>
        <v>0</v>
      </c>
      <c r="AQ113" s="64" t="s">
        <v>131</v>
      </c>
      <c r="AV113" s="41">
        <f>AW113+AX113</f>
        <v>0</v>
      </c>
      <c r="AW113" s="41">
        <f>G113*AO113</f>
        <v>0</v>
      </c>
      <c r="AX113" s="41">
        <f>G113*AP113</f>
        <v>0</v>
      </c>
      <c r="AY113" s="66" t="s">
        <v>500</v>
      </c>
      <c r="AZ113" s="66" t="s">
        <v>511</v>
      </c>
      <c r="BA113" s="59" t="s">
        <v>512</v>
      </c>
      <c r="BC113" s="41">
        <f>AW113+AX113</f>
        <v>0</v>
      </c>
      <c r="BD113" s="41">
        <f>H113/(100-BE113)*100</f>
        <v>0</v>
      </c>
      <c r="BE113" s="41">
        <v>0</v>
      </c>
      <c r="BF113" s="41">
        <f>M113</f>
        <v>0.46188000000000007</v>
      </c>
      <c r="BH113" s="54">
        <f>G113*AO113</f>
        <v>0</v>
      </c>
      <c r="BI113" s="54">
        <f>G113*AP113</f>
        <v>0</v>
      </c>
      <c r="BJ113" s="54">
        <f>G113*H113</f>
        <v>0</v>
      </c>
      <c r="BK113" s="54" t="s">
        <v>517</v>
      </c>
      <c r="BL113" s="41">
        <v>97</v>
      </c>
    </row>
    <row r="114" spans="1:47" ht="30" customHeight="1">
      <c r="A114" s="114"/>
      <c r="B114" s="131"/>
      <c r="C114" s="131" t="s">
        <v>93</v>
      </c>
      <c r="D114" s="263" t="s">
        <v>117</v>
      </c>
      <c r="E114" s="264"/>
      <c r="F114" s="116" t="s">
        <v>71</v>
      </c>
      <c r="G114" s="116" t="s">
        <v>71</v>
      </c>
      <c r="H114" s="116" t="s">
        <v>71</v>
      </c>
      <c r="I114" s="138" t="s">
        <v>71</v>
      </c>
      <c r="J114" s="138" t="s">
        <v>71</v>
      </c>
      <c r="K114" s="117">
        <f>SUM(K115:K115)</f>
        <v>0</v>
      </c>
      <c r="L114" s="118"/>
      <c r="M114" s="117">
        <f>SUM(M115:M115)</f>
        <v>0</v>
      </c>
      <c r="N114" s="119"/>
      <c r="O114" s="15"/>
      <c r="AI114" s="59"/>
      <c r="AS114" s="69">
        <f>SUM(AJ115:AJ115)</f>
        <v>0</v>
      </c>
      <c r="AT114" s="69">
        <f>SUM(AK115:AK115)</f>
        <v>0</v>
      </c>
      <c r="AU114" s="69">
        <f>SUM(AL115:AL115)</f>
        <v>0</v>
      </c>
    </row>
    <row r="115" spans="1:64" ht="30" customHeight="1">
      <c r="A115" s="110" t="s">
        <v>208</v>
      </c>
      <c r="B115" s="130"/>
      <c r="C115" s="130" t="s">
        <v>314</v>
      </c>
      <c r="D115" s="261" t="s">
        <v>427</v>
      </c>
      <c r="E115" s="262"/>
      <c r="F115" s="111" t="s">
        <v>463</v>
      </c>
      <c r="G115" s="112">
        <v>19</v>
      </c>
      <c r="H115" s="134">
        <v>0</v>
      </c>
      <c r="I115" s="137">
        <f>G115*AO115</f>
        <v>0</v>
      </c>
      <c r="J115" s="137">
        <f>G115*AP115</f>
        <v>0</v>
      </c>
      <c r="K115" s="112">
        <f>G115*H115</f>
        <v>0</v>
      </c>
      <c r="L115" s="112">
        <v>0</v>
      </c>
      <c r="M115" s="112">
        <f>G115*L115</f>
        <v>0</v>
      </c>
      <c r="N115" s="113" t="s">
        <v>585</v>
      </c>
      <c r="O115" s="15"/>
      <c r="Z115" s="41">
        <f>IF(AQ115="5",BJ115,0)</f>
        <v>0</v>
      </c>
      <c r="AB115" s="41">
        <f>IF(AQ115="1",BH115,0)</f>
        <v>0</v>
      </c>
      <c r="AC115" s="41">
        <f>IF(AQ115="1",BI115,0)</f>
        <v>0</v>
      </c>
      <c r="AD115" s="41">
        <f>IF(AQ115="7",BH115,0)</f>
        <v>0</v>
      </c>
      <c r="AE115" s="41">
        <f>IF(AQ115="7",BI115,0)</f>
        <v>0</v>
      </c>
      <c r="AF115" s="41">
        <f>IF(AQ115="2",BH115,0)</f>
        <v>0</v>
      </c>
      <c r="AG115" s="41">
        <f>IF(AQ115="2",BI115,0)</f>
        <v>0</v>
      </c>
      <c r="AH115" s="41">
        <f>IF(AQ115="0",BJ115,0)</f>
        <v>0</v>
      </c>
      <c r="AI115" s="59"/>
      <c r="AJ115" s="54">
        <f>IF(AN115=0,K115,0)</f>
        <v>0</v>
      </c>
      <c r="AK115" s="54">
        <f>IF(AN115=15,K115,0)</f>
        <v>0</v>
      </c>
      <c r="AL115" s="54">
        <f>IF(AN115=21,K115,0)</f>
        <v>0</v>
      </c>
      <c r="AN115" s="41">
        <v>21</v>
      </c>
      <c r="AO115" s="41">
        <f>H115*0</f>
        <v>0</v>
      </c>
      <c r="AP115" s="41">
        <f>H115*(1-0)</f>
        <v>0</v>
      </c>
      <c r="AQ115" s="64" t="s">
        <v>135</v>
      </c>
      <c r="AV115" s="41">
        <f>AW115+AX115</f>
        <v>0</v>
      </c>
      <c r="AW115" s="41">
        <f>G115*AO115</f>
        <v>0</v>
      </c>
      <c r="AX115" s="41">
        <f>G115*AP115</f>
        <v>0</v>
      </c>
      <c r="AY115" s="66" t="s">
        <v>501</v>
      </c>
      <c r="AZ115" s="66" t="s">
        <v>511</v>
      </c>
      <c r="BA115" s="59" t="s">
        <v>512</v>
      </c>
      <c r="BC115" s="41">
        <f>AW115+AX115</f>
        <v>0</v>
      </c>
      <c r="BD115" s="41">
        <f>H115/(100-BE115)*100</f>
        <v>0</v>
      </c>
      <c r="BE115" s="41">
        <v>0</v>
      </c>
      <c r="BF115" s="41">
        <f>M115</f>
        <v>0</v>
      </c>
      <c r="BH115" s="54">
        <f>G115*AO115</f>
        <v>0</v>
      </c>
      <c r="BI115" s="54">
        <f>G115*AP115</f>
        <v>0</v>
      </c>
      <c r="BJ115" s="54">
        <f>G115*H115</f>
        <v>0</v>
      </c>
      <c r="BK115" s="54" t="s">
        <v>517</v>
      </c>
      <c r="BL115" s="41" t="s">
        <v>93</v>
      </c>
    </row>
    <row r="116" spans="1:47" ht="30" customHeight="1">
      <c r="A116" s="114"/>
      <c r="B116" s="131"/>
      <c r="C116" s="131" t="s">
        <v>94</v>
      </c>
      <c r="D116" s="263" t="s">
        <v>118</v>
      </c>
      <c r="E116" s="264"/>
      <c r="F116" s="116" t="s">
        <v>71</v>
      </c>
      <c r="G116" s="116" t="s">
        <v>71</v>
      </c>
      <c r="H116" s="116" t="s">
        <v>71</v>
      </c>
      <c r="I116" s="138" t="s">
        <v>71</v>
      </c>
      <c r="J116" s="138" t="s">
        <v>71</v>
      </c>
      <c r="K116" s="117">
        <f>SUM(K117:K132)</f>
        <v>0</v>
      </c>
      <c r="L116" s="118"/>
      <c r="M116" s="117">
        <f>SUM(M117:M132)</f>
        <v>0.00914</v>
      </c>
      <c r="N116" s="119"/>
      <c r="O116" s="15"/>
      <c r="AI116" s="59"/>
      <c r="AS116" s="69">
        <f>SUM(AJ117:AJ132)</f>
        <v>0</v>
      </c>
      <c r="AT116" s="69">
        <f>SUM(AK117:AK132)</f>
        <v>0</v>
      </c>
      <c r="AU116" s="69">
        <f>SUM(AL117:AL132)</f>
        <v>0</v>
      </c>
    </row>
    <row r="117" spans="1:64" ht="30" customHeight="1">
      <c r="A117" s="110" t="s">
        <v>209</v>
      </c>
      <c r="B117" s="130"/>
      <c r="C117" s="130" t="s">
        <v>315</v>
      </c>
      <c r="D117" s="261" t="s">
        <v>428</v>
      </c>
      <c r="E117" s="262"/>
      <c r="F117" s="111" t="s">
        <v>464</v>
      </c>
      <c r="G117" s="112">
        <v>1</v>
      </c>
      <c r="H117" s="134">
        <v>0</v>
      </c>
      <c r="I117" s="137">
        <f aca="true" t="shared" si="144" ref="I117:I132">G117*AO117</f>
        <v>0</v>
      </c>
      <c r="J117" s="137">
        <f aca="true" t="shared" si="145" ref="J117:J132">G117*AP117</f>
        <v>0</v>
      </c>
      <c r="K117" s="112">
        <f aca="true" t="shared" si="146" ref="K117:K132">G117*H117</f>
        <v>0</v>
      </c>
      <c r="L117" s="112">
        <v>0.00012</v>
      </c>
      <c r="M117" s="112">
        <f aca="true" t="shared" si="147" ref="M117:M132">G117*L117</f>
        <v>0.00012</v>
      </c>
      <c r="N117" s="113" t="s">
        <v>585</v>
      </c>
      <c r="O117" s="15"/>
      <c r="Z117" s="41">
        <f aca="true" t="shared" si="148" ref="Z117:Z132">IF(AQ117="5",BJ117,0)</f>
        <v>0</v>
      </c>
      <c r="AB117" s="41">
        <f aca="true" t="shared" si="149" ref="AB117:AB132">IF(AQ117="1",BH117,0)</f>
        <v>0</v>
      </c>
      <c r="AC117" s="41">
        <f aca="true" t="shared" si="150" ref="AC117:AC132">IF(AQ117="1",BI117,0)</f>
        <v>0</v>
      </c>
      <c r="AD117" s="41">
        <f aca="true" t="shared" si="151" ref="AD117:AD132">IF(AQ117="7",BH117,0)</f>
        <v>0</v>
      </c>
      <c r="AE117" s="41">
        <f aca="true" t="shared" si="152" ref="AE117:AE132">IF(AQ117="7",BI117,0)</f>
        <v>0</v>
      </c>
      <c r="AF117" s="41">
        <f aca="true" t="shared" si="153" ref="AF117:AF132">IF(AQ117="2",BH117,0)</f>
        <v>0</v>
      </c>
      <c r="AG117" s="41">
        <f aca="true" t="shared" si="154" ref="AG117:AG132">IF(AQ117="2",BI117,0)</f>
        <v>0</v>
      </c>
      <c r="AH117" s="41">
        <f aca="true" t="shared" si="155" ref="AH117:AH132">IF(AQ117="0",BJ117,0)</f>
        <v>0</v>
      </c>
      <c r="AI117" s="59"/>
      <c r="AJ117" s="54">
        <f aca="true" t="shared" si="156" ref="AJ117:AJ132">IF(AN117=0,K117,0)</f>
        <v>0</v>
      </c>
      <c r="AK117" s="54">
        <f aca="true" t="shared" si="157" ref="AK117:AK132">IF(AN117=15,K117,0)</f>
        <v>0</v>
      </c>
      <c r="AL117" s="54">
        <f aca="true" t="shared" si="158" ref="AL117:AL132">IF(AN117=21,K117,0)</f>
        <v>0</v>
      </c>
      <c r="AN117" s="41">
        <v>21</v>
      </c>
      <c r="AO117" s="41">
        <f>H117*0.0333342857142857</f>
        <v>0</v>
      </c>
      <c r="AP117" s="41">
        <f>H117*(1-0.0333342857142857)</f>
        <v>0</v>
      </c>
      <c r="AQ117" s="64" t="s">
        <v>132</v>
      </c>
      <c r="AV117" s="41">
        <f aca="true" t="shared" si="159" ref="AV117:AV132">AW117+AX117</f>
        <v>0</v>
      </c>
      <c r="AW117" s="41">
        <f aca="true" t="shared" si="160" ref="AW117:AW132">G117*AO117</f>
        <v>0</v>
      </c>
      <c r="AX117" s="41">
        <f aca="true" t="shared" si="161" ref="AX117:AX132">G117*AP117</f>
        <v>0</v>
      </c>
      <c r="AY117" s="66" t="s">
        <v>502</v>
      </c>
      <c r="AZ117" s="66" t="s">
        <v>511</v>
      </c>
      <c r="BA117" s="59" t="s">
        <v>512</v>
      </c>
      <c r="BC117" s="41">
        <f aca="true" t="shared" si="162" ref="BC117:BC132">AW117+AX117</f>
        <v>0</v>
      </c>
      <c r="BD117" s="41">
        <f aca="true" t="shared" si="163" ref="BD117:BD132">H117/(100-BE117)*100</f>
        <v>0</v>
      </c>
      <c r="BE117" s="41">
        <v>0</v>
      </c>
      <c r="BF117" s="41">
        <f aca="true" t="shared" si="164" ref="BF117:BF132">M117</f>
        <v>0.00012</v>
      </c>
      <c r="BH117" s="54">
        <f aca="true" t="shared" si="165" ref="BH117:BH132">G117*AO117</f>
        <v>0</v>
      </c>
      <c r="BI117" s="54">
        <f aca="true" t="shared" si="166" ref="BI117:BI132">G117*AP117</f>
        <v>0</v>
      </c>
      <c r="BJ117" s="54">
        <f aca="true" t="shared" si="167" ref="BJ117:BJ132">G117*H117</f>
        <v>0</v>
      </c>
      <c r="BK117" s="54" t="s">
        <v>517</v>
      </c>
      <c r="BL117" s="41" t="s">
        <v>94</v>
      </c>
    </row>
    <row r="118" spans="1:64" ht="30" customHeight="1">
      <c r="A118" s="110" t="s">
        <v>210</v>
      </c>
      <c r="B118" s="130"/>
      <c r="C118" s="130" t="s">
        <v>316</v>
      </c>
      <c r="D118" s="261" t="s">
        <v>429</v>
      </c>
      <c r="E118" s="262"/>
      <c r="F118" s="111" t="s">
        <v>464</v>
      </c>
      <c r="G118" s="112">
        <v>1</v>
      </c>
      <c r="H118" s="134">
        <v>0</v>
      </c>
      <c r="I118" s="137">
        <f t="shared" si="144"/>
        <v>0</v>
      </c>
      <c r="J118" s="137">
        <f t="shared" si="145"/>
        <v>0</v>
      </c>
      <c r="K118" s="112">
        <f t="shared" si="146"/>
        <v>0</v>
      </c>
      <c r="L118" s="112">
        <v>0</v>
      </c>
      <c r="M118" s="112">
        <f t="shared" si="147"/>
        <v>0</v>
      </c>
      <c r="N118" s="113" t="s">
        <v>585</v>
      </c>
      <c r="O118" s="15"/>
      <c r="Z118" s="41">
        <f t="shared" si="148"/>
        <v>0</v>
      </c>
      <c r="AB118" s="41">
        <f t="shared" si="149"/>
        <v>0</v>
      </c>
      <c r="AC118" s="41">
        <f t="shared" si="150"/>
        <v>0</v>
      </c>
      <c r="AD118" s="41">
        <f t="shared" si="151"/>
        <v>0</v>
      </c>
      <c r="AE118" s="41">
        <f t="shared" si="152"/>
        <v>0</v>
      </c>
      <c r="AF118" s="41">
        <f t="shared" si="153"/>
        <v>0</v>
      </c>
      <c r="AG118" s="41">
        <f t="shared" si="154"/>
        <v>0</v>
      </c>
      <c r="AH118" s="41">
        <f t="shared" si="155"/>
        <v>0</v>
      </c>
      <c r="AI118" s="59"/>
      <c r="AJ118" s="54">
        <f t="shared" si="156"/>
        <v>0</v>
      </c>
      <c r="AK118" s="54">
        <f t="shared" si="157"/>
        <v>0</v>
      </c>
      <c r="AL118" s="54">
        <f t="shared" si="158"/>
        <v>0</v>
      </c>
      <c r="AN118" s="41">
        <v>21</v>
      </c>
      <c r="AO118" s="41">
        <f>H118*0</f>
        <v>0</v>
      </c>
      <c r="AP118" s="41">
        <f>H118*(1-0)</f>
        <v>0</v>
      </c>
      <c r="AQ118" s="64" t="s">
        <v>132</v>
      </c>
      <c r="AV118" s="41">
        <f t="shared" si="159"/>
        <v>0</v>
      </c>
      <c r="AW118" s="41">
        <f t="shared" si="160"/>
        <v>0</v>
      </c>
      <c r="AX118" s="41">
        <f t="shared" si="161"/>
        <v>0</v>
      </c>
      <c r="AY118" s="66" t="s">
        <v>502</v>
      </c>
      <c r="AZ118" s="66" t="s">
        <v>511</v>
      </c>
      <c r="BA118" s="59" t="s">
        <v>512</v>
      </c>
      <c r="BC118" s="41">
        <f t="shared" si="162"/>
        <v>0</v>
      </c>
      <c r="BD118" s="41">
        <f t="shared" si="163"/>
        <v>0</v>
      </c>
      <c r="BE118" s="41">
        <v>0</v>
      </c>
      <c r="BF118" s="41">
        <f t="shared" si="164"/>
        <v>0</v>
      </c>
      <c r="BH118" s="54">
        <f t="shared" si="165"/>
        <v>0</v>
      </c>
      <c r="BI118" s="54">
        <f t="shared" si="166"/>
        <v>0</v>
      </c>
      <c r="BJ118" s="54">
        <f t="shared" si="167"/>
        <v>0</v>
      </c>
      <c r="BK118" s="54" t="s">
        <v>517</v>
      </c>
      <c r="BL118" s="41" t="s">
        <v>94</v>
      </c>
    </row>
    <row r="119" spans="1:64" ht="30" customHeight="1">
      <c r="A119" s="110" t="s">
        <v>211</v>
      </c>
      <c r="B119" s="130"/>
      <c r="C119" s="130" t="s">
        <v>317</v>
      </c>
      <c r="D119" s="261" t="s">
        <v>430</v>
      </c>
      <c r="E119" s="262"/>
      <c r="F119" s="111" t="s">
        <v>460</v>
      </c>
      <c r="G119" s="112">
        <v>2</v>
      </c>
      <c r="H119" s="134">
        <v>0</v>
      </c>
      <c r="I119" s="137">
        <f t="shared" si="144"/>
        <v>0</v>
      </c>
      <c r="J119" s="137">
        <f t="shared" si="145"/>
        <v>0</v>
      </c>
      <c r="K119" s="112">
        <f t="shared" si="146"/>
        <v>0</v>
      </c>
      <c r="L119" s="112">
        <v>6E-05</v>
      </c>
      <c r="M119" s="112">
        <f t="shared" si="147"/>
        <v>0.00012</v>
      </c>
      <c r="N119" s="113" t="s">
        <v>585</v>
      </c>
      <c r="O119" s="15"/>
      <c r="Z119" s="41">
        <f t="shared" si="148"/>
        <v>0</v>
      </c>
      <c r="AB119" s="41">
        <f t="shared" si="149"/>
        <v>0</v>
      </c>
      <c r="AC119" s="41">
        <f t="shared" si="150"/>
        <v>0</v>
      </c>
      <c r="AD119" s="41">
        <f t="shared" si="151"/>
        <v>0</v>
      </c>
      <c r="AE119" s="41">
        <f t="shared" si="152"/>
        <v>0</v>
      </c>
      <c r="AF119" s="41">
        <f t="shared" si="153"/>
        <v>0</v>
      </c>
      <c r="AG119" s="41">
        <f t="shared" si="154"/>
        <v>0</v>
      </c>
      <c r="AH119" s="41">
        <f t="shared" si="155"/>
        <v>0</v>
      </c>
      <c r="AI119" s="59"/>
      <c r="AJ119" s="54">
        <f t="shared" si="156"/>
        <v>0</v>
      </c>
      <c r="AK119" s="54">
        <f t="shared" si="157"/>
        <v>0</v>
      </c>
      <c r="AL119" s="54">
        <f t="shared" si="158"/>
        <v>0</v>
      </c>
      <c r="AN119" s="41">
        <v>21</v>
      </c>
      <c r="AO119" s="41">
        <f>H119*0.848708487084871</f>
        <v>0</v>
      </c>
      <c r="AP119" s="41">
        <f>H119*(1-0.848708487084871)</f>
        <v>0</v>
      </c>
      <c r="AQ119" s="64" t="s">
        <v>132</v>
      </c>
      <c r="AV119" s="41">
        <f t="shared" si="159"/>
        <v>0</v>
      </c>
      <c r="AW119" s="41">
        <f t="shared" si="160"/>
        <v>0</v>
      </c>
      <c r="AX119" s="41">
        <f t="shared" si="161"/>
        <v>0</v>
      </c>
      <c r="AY119" s="66" t="s">
        <v>502</v>
      </c>
      <c r="AZ119" s="66" t="s">
        <v>511</v>
      </c>
      <c r="BA119" s="59" t="s">
        <v>512</v>
      </c>
      <c r="BC119" s="41">
        <f t="shared" si="162"/>
        <v>0</v>
      </c>
      <c r="BD119" s="41">
        <f t="shared" si="163"/>
        <v>0</v>
      </c>
      <c r="BE119" s="41">
        <v>0</v>
      </c>
      <c r="BF119" s="41">
        <f t="shared" si="164"/>
        <v>0.00012</v>
      </c>
      <c r="BH119" s="54">
        <f t="shared" si="165"/>
        <v>0</v>
      </c>
      <c r="BI119" s="54">
        <f t="shared" si="166"/>
        <v>0</v>
      </c>
      <c r="BJ119" s="54">
        <f t="shared" si="167"/>
        <v>0</v>
      </c>
      <c r="BK119" s="54" t="s">
        <v>517</v>
      </c>
      <c r="BL119" s="41" t="s">
        <v>94</v>
      </c>
    </row>
    <row r="120" spans="1:64" ht="30" customHeight="1">
      <c r="A120" s="110" t="s">
        <v>212</v>
      </c>
      <c r="B120" s="130"/>
      <c r="C120" s="130" t="s">
        <v>318</v>
      </c>
      <c r="D120" s="261" t="s">
        <v>431</v>
      </c>
      <c r="E120" s="262"/>
      <c r="F120" s="111" t="s">
        <v>460</v>
      </c>
      <c r="G120" s="112">
        <v>2</v>
      </c>
      <c r="H120" s="134">
        <v>0</v>
      </c>
      <c r="I120" s="137">
        <f t="shared" si="144"/>
        <v>0</v>
      </c>
      <c r="J120" s="137">
        <f t="shared" si="145"/>
        <v>0</v>
      </c>
      <c r="K120" s="112">
        <f t="shared" si="146"/>
        <v>0</v>
      </c>
      <c r="L120" s="112">
        <v>6E-05</v>
      </c>
      <c r="M120" s="112">
        <f t="shared" si="147"/>
        <v>0.00012</v>
      </c>
      <c r="N120" s="113" t="s">
        <v>585</v>
      </c>
      <c r="O120" s="15"/>
      <c r="Z120" s="41">
        <f t="shared" si="148"/>
        <v>0</v>
      </c>
      <c r="AB120" s="41">
        <f t="shared" si="149"/>
        <v>0</v>
      </c>
      <c r="AC120" s="41">
        <f t="shared" si="150"/>
        <v>0</v>
      </c>
      <c r="AD120" s="41">
        <f t="shared" si="151"/>
        <v>0</v>
      </c>
      <c r="AE120" s="41">
        <f t="shared" si="152"/>
        <v>0</v>
      </c>
      <c r="AF120" s="41">
        <f t="shared" si="153"/>
        <v>0</v>
      </c>
      <c r="AG120" s="41">
        <f t="shared" si="154"/>
        <v>0</v>
      </c>
      <c r="AH120" s="41">
        <f t="shared" si="155"/>
        <v>0</v>
      </c>
      <c r="AI120" s="59"/>
      <c r="AJ120" s="54">
        <f t="shared" si="156"/>
        <v>0</v>
      </c>
      <c r="AK120" s="54">
        <f t="shared" si="157"/>
        <v>0</v>
      </c>
      <c r="AL120" s="54">
        <f t="shared" si="158"/>
        <v>0</v>
      </c>
      <c r="AN120" s="41">
        <v>21</v>
      </c>
      <c r="AO120" s="41">
        <f>H120*0.0537634408602151</f>
        <v>0</v>
      </c>
      <c r="AP120" s="41">
        <f>H120*(1-0.0537634408602151)</f>
        <v>0</v>
      </c>
      <c r="AQ120" s="64" t="s">
        <v>132</v>
      </c>
      <c r="AV120" s="41">
        <f t="shared" si="159"/>
        <v>0</v>
      </c>
      <c r="AW120" s="41">
        <f t="shared" si="160"/>
        <v>0</v>
      </c>
      <c r="AX120" s="41">
        <f t="shared" si="161"/>
        <v>0</v>
      </c>
      <c r="AY120" s="66" t="s">
        <v>502</v>
      </c>
      <c r="AZ120" s="66" t="s">
        <v>511</v>
      </c>
      <c r="BA120" s="59" t="s">
        <v>512</v>
      </c>
      <c r="BC120" s="41">
        <f t="shared" si="162"/>
        <v>0</v>
      </c>
      <c r="BD120" s="41">
        <f t="shared" si="163"/>
        <v>0</v>
      </c>
      <c r="BE120" s="41">
        <v>0</v>
      </c>
      <c r="BF120" s="41">
        <f t="shared" si="164"/>
        <v>0.00012</v>
      </c>
      <c r="BH120" s="54">
        <f t="shared" si="165"/>
        <v>0</v>
      </c>
      <c r="BI120" s="54">
        <f t="shared" si="166"/>
        <v>0</v>
      </c>
      <c r="BJ120" s="54">
        <f t="shared" si="167"/>
        <v>0</v>
      </c>
      <c r="BK120" s="54" t="s">
        <v>517</v>
      </c>
      <c r="BL120" s="41" t="s">
        <v>94</v>
      </c>
    </row>
    <row r="121" spans="1:64" ht="30" customHeight="1">
      <c r="A121" s="110" t="s">
        <v>213</v>
      </c>
      <c r="B121" s="130"/>
      <c r="C121" s="130" t="s">
        <v>319</v>
      </c>
      <c r="D121" s="261" t="s">
        <v>432</v>
      </c>
      <c r="E121" s="262"/>
      <c r="F121" s="111" t="s">
        <v>460</v>
      </c>
      <c r="G121" s="112">
        <v>5</v>
      </c>
      <c r="H121" s="134">
        <v>0</v>
      </c>
      <c r="I121" s="137">
        <f t="shared" si="144"/>
        <v>0</v>
      </c>
      <c r="J121" s="137">
        <f t="shared" si="145"/>
        <v>0</v>
      </c>
      <c r="K121" s="112">
        <f t="shared" si="146"/>
        <v>0</v>
      </c>
      <c r="L121" s="112">
        <v>4E-05</v>
      </c>
      <c r="M121" s="112">
        <f t="shared" si="147"/>
        <v>0.0002</v>
      </c>
      <c r="N121" s="113" t="s">
        <v>585</v>
      </c>
      <c r="O121" s="15"/>
      <c r="Z121" s="41">
        <f t="shared" si="148"/>
        <v>0</v>
      </c>
      <c r="AB121" s="41">
        <f t="shared" si="149"/>
        <v>0</v>
      </c>
      <c r="AC121" s="41">
        <f t="shared" si="150"/>
        <v>0</v>
      </c>
      <c r="AD121" s="41">
        <f t="shared" si="151"/>
        <v>0</v>
      </c>
      <c r="AE121" s="41">
        <f t="shared" si="152"/>
        <v>0</v>
      </c>
      <c r="AF121" s="41">
        <f t="shared" si="153"/>
        <v>0</v>
      </c>
      <c r="AG121" s="41">
        <f t="shared" si="154"/>
        <v>0</v>
      </c>
      <c r="AH121" s="41">
        <f t="shared" si="155"/>
        <v>0</v>
      </c>
      <c r="AI121" s="59"/>
      <c r="AJ121" s="54">
        <f t="shared" si="156"/>
        <v>0</v>
      </c>
      <c r="AK121" s="54">
        <f t="shared" si="157"/>
        <v>0</v>
      </c>
      <c r="AL121" s="54">
        <f t="shared" si="158"/>
        <v>0</v>
      </c>
      <c r="AN121" s="41">
        <v>21</v>
      </c>
      <c r="AO121" s="41">
        <f>H121*0.51219512195122</f>
        <v>0</v>
      </c>
      <c r="AP121" s="41">
        <f>H121*(1-0.51219512195122)</f>
        <v>0</v>
      </c>
      <c r="AQ121" s="64" t="s">
        <v>132</v>
      </c>
      <c r="AV121" s="41">
        <f t="shared" si="159"/>
        <v>0</v>
      </c>
      <c r="AW121" s="41">
        <f t="shared" si="160"/>
        <v>0</v>
      </c>
      <c r="AX121" s="41">
        <f t="shared" si="161"/>
        <v>0</v>
      </c>
      <c r="AY121" s="66" t="s">
        <v>502</v>
      </c>
      <c r="AZ121" s="66" t="s">
        <v>511</v>
      </c>
      <c r="BA121" s="59" t="s">
        <v>512</v>
      </c>
      <c r="BC121" s="41">
        <f t="shared" si="162"/>
        <v>0</v>
      </c>
      <c r="BD121" s="41">
        <f t="shared" si="163"/>
        <v>0</v>
      </c>
      <c r="BE121" s="41">
        <v>0</v>
      </c>
      <c r="BF121" s="41">
        <f t="shared" si="164"/>
        <v>0.0002</v>
      </c>
      <c r="BH121" s="54">
        <f t="shared" si="165"/>
        <v>0</v>
      </c>
      <c r="BI121" s="54">
        <f t="shared" si="166"/>
        <v>0</v>
      </c>
      <c r="BJ121" s="54">
        <f t="shared" si="167"/>
        <v>0</v>
      </c>
      <c r="BK121" s="54" t="s">
        <v>517</v>
      </c>
      <c r="BL121" s="41" t="s">
        <v>94</v>
      </c>
    </row>
    <row r="122" spans="1:64" ht="30" customHeight="1">
      <c r="A122" s="110" t="s">
        <v>214</v>
      </c>
      <c r="B122" s="130"/>
      <c r="C122" s="130" t="s">
        <v>320</v>
      </c>
      <c r="D122" s="261" t="s">
        <v>433</v>
      </c>
      <c r="E122" s="262"/>
      <c r="F122" s="111" t="s">
        <v>460</v>
      </c>
      <c r="G122" s="112">
        <v>5</v>
      </c>
      <c r="H122" s="134">
        <v>0</v>
      </c>
      <c r="I122" s="137">
        <f t="shared" si="144"/>
        <v>0</v>
      </c>
      <c r="J122" s="137">
        <f t="shared" si="145"/>
        <v>0</v>
      </c>
      <c r="K122" s="112">
        <f t="shared" si="146"/>
        <v>0</v>
      </c>
      <c r="L122" s="112">
        <v>6E-05</v>
      </c>
      <c r="M122" s="112">
        <f t="shared" si="147"/>
        <v>0.00030000000000000003</v>
      </c>
      <c r="N122" s="113" t="s">
        <v>585</v>
      </c>
      <c r="O122" s="15"/>
      <c r="Z122" s="41">
        <f t="shared" si="148"/>
        <v>0</v>
      </c>
      <c r="AB122" s="41">
        <f t="shared" si="149"/>
        <v>0</v>
      </c>
      <c r="AC122" s="41">
        <f t="shared" si="150"/>
        <v>0</v>
      </c>
      <c r="AD122" s="41">
        <f t="shared" si="151"/>
        <v>0</v>
      </c>
      <c r="AE122" s="41">
        <f t="shared" si="152"/>
        <v>0</v>
      </c>
      <c r="AF122" s="41">
        <f t="shared" si="153"/>
        <v>0</v>
      </c>
      <c r="AG122" s="41">
        <f t="shared" si="154"/>
        <v>0</v>
      </c>
      <c r="AH122" s="41">
        <f t="shared" si="155"/>
        <v>0</v>
      </c>
      <c r="AI122" s="59"/>
      <c r="AJ122" s="54">
        <f t="shared" si="156"/>
        <v>0</v>
      </c>
      <c r="AK122" s="54">
        <f t="shared" si="157"/>
        <v>0</v>
      </c>
      <c r="AL122" s="54">
        <f t="shared" si="158"/>
        <v>0</v>
      </c>
      <c r="AN122" s="41">
        <v>21</v>
      </c>
      <c r="AO122" s="41">
        <f>H122*0.518518518518518</f>
        <v>0</v>
      </c>
      <c r="AP122" s="41">
        <f>H122*(1-0.518518518518518)</f>
        <v>0</v>
      </c>
      <c r="AQ122" s="64" t="s">
        <v>132</v>
      </c>
      <c r="AV122" s="41">
        <f t="shared" si="159"/>
        <v>0</v>
      </c>
      <c r="AW122" s="41">
        <f t="shared" si="160"/>
        <v>0</v>
      </c>
      <c r="AX122" s="41">
        <f t="shared" si="161"/>
        <v>0</v>
      </c>
      <c r="AY122" s="66" t="s">
        <v>502</v>
      </c>
      <c r="AZ122" s="66" t="s">
        <v>511</v>
      </c>
      <c r="BA122" s="59" t="s">
        <v>512</v>
      </c>
      <c r="BC122" s="41">
        <f t="shared" si="162"/>
        <v>0</v>
      </c>
      <c r="BD122" s="41">
        <f t="shared" si="163"/>
        <v>0</v>
      </c>
      <c r="BE122" s="41">
        <v>0</v>
      </c>
      <c r="BF122" s="41">
        <f t="shared" si="164"/>
        <v>0.00030000000000000003</v>
      </c>
      <c r="BH122" s="54">
        <f t="shared" si="165"/>
        <v>0</v>
      </c>
      <c r="BI122" s="54">
        <f t="shared" si="166"/>
        <v>0</v>
      </c>
      <c r="BJ122" s="54">
        <f t="shared" si="167"/>
        <v>0</v>
      </c>
      <c r="BK122" s="54" t="s">
        <v>517</v>
      </c>
      <c r="BL122" s="41" t="s">
        <v>94</v>
      </c>
    </row>
    <row r="123" spans="1:64" ht="30" customHeight="1">
      <c r="A123" s="110" t="s">
        <v>215</v>
      </c>
      <c r="B123" s="130"/>
      <c r="C123" s="130" t="s">
        <v>321</v>
      </c>
      <c r="D123" s="261" t="s">
        <v>434</v>
      </c>
      <c r="E123" s="262"/>
      <c r="F123" s="111" t="s">
        <v>460</v>
      </c>
      <c r="G123" s="112">
        <v>10</v>
      </c>
      <c r="H123" s="134">
        <v>0</v>
      </c>
      <c r="I123" s="137">
        <f t="shared" si="144"/>
        <v>0</v>
      </c>
      <c r="J123" s="137">
        <f t="shared" si="145"/>
        <v>0</v>
      </c>
      <c r="K123" s="112">
        <f t="shared" si="146"/>
        <v>0</v>
      </c>
      <c r="L123" s="112">
        <v>0.00017</v>
      </c>
      <c r="M123" s="112">
        <f t="shared" si="147"/>
        <v>0.0017000000000000001</v>
      </c>
      <c r="N123" s="113" t="s">
        <v>585</v>
      </c>
      <c r="O123" s="15"/>
      <c r="Z123" s="41">
        <f t="shared" si="148"/>
        <v>0</v>
      </c>
      <c r="AB123" s="41">
        <f t="shared" si="149"/>
        <v>0</v>
      </c>
      <c r="AC123" s="41">
        <f t="shared" si="150"/>
        <v>0</v>
      </c>
      <c r="AD123" s="41">
        <f t="shared" si="151"/>
        <v>0</v>
      </c>
      <c r="AE123" s="41">
        <f t="shared" si="152"/>
        <v>0</v>
      </c>
      <c r="AF123" s="41">
        <f t="shared" si="153"/>
        <v>0</v>
      </c>
      <c r="AG123" s="41">
        <f t="shared" si="154"/>
        <v>0</v>
      </c>
      <c r="AH123" s="41">
        <f t="shared" si="155"/>
        <v>0</v>
      </c>
      <c r="AI123" s="59"/>
      <c r="AJ123" s="54">
        <f t="shared" si="156"/>
        <v>0</v>
      </c>
      <c r="AK123" s="54">
        <f t="shared" si="157"/>
        <v>0</v>
      </c>
      <c r="AL123" s="54">
        <f t="shared" si="158"/>
        <v>0</v>
      </c>
      <c r="AN123" s="41">
        <v>21</v>
      </c>
      <c r="AO123" s="41">
        <f>H123*0.230769230769231</f>
        <v>0</v>
      </c>
      <c r="AP123" s="41">
        <f>H123*(1-0.230769230769231)</f>
        <v>0</v>
      </c>
      <c r="AQ123" s="64" t="s">
        <v>132</v>
      </c>
      <c r="AV123" s="41">
        <f t="shared" si="159"/>
        <v>0</v>
      </c>
      <c r="AW123" s="41">
        <f t="shared" si="160"/>
        <v>0</v>
      </c>
      <c r="AX123" s="41">
        <f t="shared" si="161"/>
        <v>0</v>
      </c>
      <c r="AY123" s="66" t="s">
        <v>502</v>
      </c>
      <c r="AZ123" s="66" t="s">
        <v>511</v>
      </c>
      <c r="BA123" s="59" t="s">
        <v>512</v>
      </c>
      <c r="BC123" s="41">
        <f t="shared" si="162"/>
        <v>0</v>
      </c>
      <c r="BD123" s="41">
        <f t="shared" si="163"/>
        <v>0</v>
      </c>
      <c r="BE123" s="41">
        <v>0</v>
      </c>
      <c r="BF123" s="41">
        <f t="shared" si="164"/>
        <v>0.0017000000000000001</v>
      </c>
      <c r="BH123" s="54">
        <f t="shared" si="165"/>
        <v>0</v>
      </c>
      <c r="BI123" s="54">
        <f t="shared" si="166"/>
        <v>0</v>
      </c>
      <c r="BJ123" s="54">
        <f t="shared" si="167"/>
        <v>0</v>
      </c>
      <c r="BK123" s="54" t="s">
        <v>517</v>
      </c>
      <c r="BL123" s="41" t="s">
        <v>94</v>
      </c>
    </row>
    <row r="124" spans="1:64" ht="30" customHeight="1">
      <c r="A124" s="110" t="s">
        <v>216</v>
      </c>
      <c r="B124" s="130"/>
      <c r="C124" s="130" t="s">
        <v>322</v>
      </c>
      <c r="D124" s="261" t="s">
        <v>435</v>
      </c>
      <c r="E124" s="262"/>
      <c r="F124" s="111" t="s">
        <v>460</v>
      </c>
      <c r="G124" s="112">
        <v>6</v>
      </c>
      <c r="H124" s="134">
        <v>0</v>
      </c>
      <c r="I124" s="137">
        <f t="shared" si="144"/>
        <v>0</v>
      </c>
      <c r="J124" s="137">
        <f t="shared" si="145"/>
        <v>0</v>
      </c>
      <c r="K124" s="112">
        <f t="shared" si="146"/>
        <v>0</v>
      </c>
      <c r="L124" s="112">
        <v>0</v>
      </c>
      <c r="M124" s="112">
        <f t="shared" si="147"/>
        <v>0</v>
      </c>
      <c r="N124" s="113" t="s">
        <v>585</v>
      </c>
      <c r="O124" s="15"/>
      <c r="Z124" s="41">
        <f t="shared" si="148"/>
        <v>0</v>
      </c>
      <c r="AB124" s="41">
        <f t="shared" si="149"/>
        <v>0</v>
      </c>
      <c r="AC124" s="41">
        <f t="shared" si="150"/>
        <v>0</v>
      </c>
      <c r="AD124" s="41">
        <f t="shared" si="151"/>
        <v>0</v>
      </c>
      <c r="AE124" s="41">
        <f t="shared" si="152"/>
        <v>0</v>
      </c>
      <c r="AF124" s="41">
        <f t="shared" si="153"/>
        <v>0</v>
      </c>
      <c r="AG124" s="41">
        <f t="shared" si="154"/>
        <v>0</v>
      </c>
      <c r="AH124" s="41">
        <f t="shared" si="155"/>
        <v>0</v>
      </c>
      <c r="AI124" s="59"/>
      <c r="AJ124" s="54">
        <f t="shared" si="156"/>
        <v>0</v>
      </c>
      <c r="AK124" s="54">
        <f t="shared" si="157"/>
        <v>0</v>
      </c>
      <c r="AL124" s="54">
        <f t="shared" si="158"/>
        <v>0</v>
      </c>
      <c r="AN124" s="41">
        <v>21</v>
      </c>
      <c r="AO124" s="41">
        <f>H124*0.177432769614638</f>
        <v>0</v>
      </c>
      <c r="AP124" s="41">
        <f>H124*(1-0.177432769614638)</f>
        <v>0</v>
      </c>
      <c r="AQ124" s="64" t="s">
        <v>132</v>
      </c>
      <c r="AV124" s="41">
        <f t="shared" si="159"/>
        <v>0</v>
      </c>
      <c r="AW124" s="41">
        <f t="shared" si="160"/>
        <v>0</v>
      </c>
      <c r="AX124" s="41">
        <f t="shared" si="161"/>
        <v>0</v>
      </c>
      <c r="AY124" s="66" t="s">
        <v>502</v>
      </c>
      <c r="AZ124" s="66" t="s">
        <v>511</v>
      </c>
      <c r="BA124" s="59" t="s">
        <v>512</v>
      </c>
      <c r="BC124" s="41">
        <f t="shared" si="162"/>
        <v>0</v>
      </c>
      <c r="BD124" s="41">
        <f t="shared" si="163"/>
        <v>0</v>
      </c>
      <c r="BE124" s="41">
        <v>0</v>
      </c>
      <c r="BF124" s="41">
        <f t="shared" si="164"/>
        <v>0</v>
      </c>
      <c r="BH124" s="54">
        <f t="shared" si="165"/>
        <v>0</v>
      </c>
      <c r="BI124" s="54">
        <f t="shared" si="166"/>
        <v>0</v>
      </c>
      <c r="BJ124" s="54">
        <f t="shared" si="167"/>
        <v>0</v>
      </c>
      <c r="BK124" s="54" t="s">
        <v>517</v>
      </c>
      <c r="BL124" s="41" t="s">
        <v>94</v>
      </c>
    </row>
    <row r="125" spans="1:64" ht="30" customHeight="1">
      <c r="A125" s="110" t="s">
        <v>217</v>
      </c>
      <c r="B125" s="130"/>
      <c r="C125" s="130" t="s">
        <v>323</v>
      </c>
      <c r="D125" s="261" t="s">
        <v>436</v>
      </c>
      <c r="E125" s="262"/>
      <c r="F125" s="111" t="s">
        <v>457</v>
      </c>
      <c r="G125" s="112">
        <v>22</v>
      </c>
      <c r="H125" s="134">
        <v>0</v>
      </c>
      <c r="I125" s="137">
        <f t="shared" si="144"/>
        <v>0</v>
      </c>
      <c r="J125" s="137">
        <f t="shared" si="145"/>
        <v>0</v>
      </c>
      <c r="K125" s="112">
        <f t="shared" si="146"/>
        <v>0</v>
      </c>
      <c r="L125" s="112">
        <v>0.00012</v>
      </c>
      <c r="M125" s="112">
        <f t="shared" si="147"/>
        <v>0.00264</v>
      </c>
      <c r="N125" s="113" t="s">
        <v>585</v>
      </c>
      <c r="O125" s="15"/>
      <c r="Z125" s="41">
        <f t="shared" si="148"/>
        <v>0</v>
      </c>
      <c r="AB125" s="41">
        <f t="shared" si="149"/>
        <v>0</v>
      </c>
      <c r="AC125" s="41">
        <f t="shared" si="150"/>
        <v>0</v>
      </c>
      <c r="AD125" s="41">
        <f t="shared" si="151"/>
        <v>0</v>
      </c>
      <c r="AE125" s="41">
        <f t="shared" si="152"/>
        <v>0</v>
      </c>
      <c r="AF125" s="41">
        <f t="shared" si="153"/>
        <v>0</v>
      </c>
      <c r="AG125" s="41">
        <f t="shared" si="154"/>
        <v>0</v>
      </c>
      <c r="AH125" s="41">
        <f t="shared" si="155"/>
        <v>0</v>
      </c>
      <c r="AI125" s="59"/>
      <c r="AJ125" s="54">
        <f t="shared" si="156"/>
        <v>0</v>
      </c>
      <c r="AK125" s="54">
        <f t="shared" si="157"/>
        <v>0</v>
      </c>
      <c r="AL125" s="54">
        <f t="shared" si="158"/>
        <v>0</v>
      </c>
      <c r="AN125" s="41">
        <v>21</v>
      </c>
      <c r="AO125" s="41">
        <f>H125*0.444444444444444</f>
        <v>0</v>
      </c>
      <c r="AP125" s="41">
        <f>H125*(1-0.444444444444444)</f>
        <v>0</v>
      </c>
      <c r="AQ125" s="64" t="s">
        <v>132</v>
      </c>
      <c r="AV125" s="41">
        <f t="shared" si="159"/>
        <v>0</v>
      </c>
      <c r="AW125" s="41">
        <f t="shared" si="160"/>
        <v>0</v>
      </c>
      <c r="AX125" s="41">
        <f t="shared" si="161"/>
        <v>0</v>
      </c>
      <c r="AY125" s="66" t="s">
        <v>502</v>
      </c>
      <c r="AZ125" s="66" t="s">
        <v>511</v>
      </c>
      <c r="BA125" s="59" t="s">
        <v>512</v>
      </c>
      <c r="BC125" s="41">
        <f t="shared" si="162"/>
        <v>0</v>
      </c>
      <c r="BD125" s="41">
        <f t="shared" si="163"/>
        <v>0</v>
      </c>
      <c r="BE125" s="41">
        <v>0</v>
      </c>
      <c r="BF125" s="41">
        <f t="shared" si="164"/>
        <v>0.00264</v>
      </c>
      <c r="BH125" s="54">
        <f t="shared" si="165"/>
        <v>0</v>
      </c>
      <c r="BI125" s="54">
        <f t="shared" si="166"/>
        <v>0</v>
      </c>
      <c r="BJ125" s="54">
        <f t="shared" si="167"/>
        <v>0</v>
      </c>
      <c r="BK125" s="54" t="s">
        <v>517</v>
      </c>
      <c r="BL125" s="41" t="s">
        <v>94</v>
      </c>
    </row>
    <row r="126" spans="1:64" ht="30" customHeight="1">
      <c r="A126" s="110" t="s">
        <v>218</v>
      </c>
      <c r="B126" s="130"/>
      <c r="C126" s="130" t="s">
        <v>324</v>
      </c>
      <c r="D126" s="261" t="s">
        <v>437</v>
      </c>
      <c r="E126" s="262"/>
      <c r="F126" s="111" t="s">
        <v>457</v>
      </c>
      <c r="G126" s="112">
        <v>79</v>
      </c>
      <c r="H126" s="134">
        <v>0</v>
      </c>
      <c r="I126" s="137">
        <f t="shared" si="144"/>
        <v>0</v>
      </c>
      <c r="J126" s="137">
        <f t="shared" si="145"/>
        <v>0</v>
      </c>
      <c r="K126" s="112">
        <f t="shared" si="146"/>
        <v>0</v>
      </c>
      <c r="L126" s="112">
        <v>0</v>
      </c>
      <c r="M126" s="112">
        <f t="shared" si="147"/>
        <v>0</v>
      </c>
      <c r="N126" s="113" t="s">
        <v>585</v>
      </c>
      <c r="O126" s="15"/>
      <c r="Z126" s="41">
        <f t="shared" si="148"/>
        <v>0</v>
      </c>
      <c r="AB126" s="41">
        <f t="shared" si="149"/>
        <v>0</v>
      </c>
      <c r="AC126" s="41">
        <f t="shared" si="150"/>
        <v>0</v>
      </c>
      <c r="AD126" s="41">
        <f t="shared" si="151"/>
        <v>0</v>
      </c>
      <c r="AE126" s="41">
        <f t="shared" si="152"/>
        <v>0</v>
      </c>
      <c r="AF126" s="41">
        <f t="shared" si="153"/>
        <v>0</v>
      </c>
      <c r="AG126" s="41">
        <f t="shared" si="154"/>
        <v>0</v>
      </c>
      <c r="AH126" s="41">
        <f t="shared" si="155"/>
        <v>0</v>
      </c>
      <c r="AI126" s="59"/>
      <c r="AJ126" s="54">
        <f t="shared" si="156"/>
        <v>0</v>
      </c>
      <c r="AK126" s="54">
        <f t="shared" si="157"/>
        <v>0</v>
      </c>
      <c r="AL126" s="54">
        <f t="shared" si="158"/>
        <v>0</v>
      </c>
      <c r="AN126" s="41">
        <v>21</v>
      </c>
      <c r="AO126" s="41">
        <f>H126*0.306133333333333</f>
        <v>0</v>
      </c>
      <c r="AP126" s="41">
        <f>H126*(1-0.306133333333333)</f>
        <v>0</v>
      </c>
      <c r="AQ126" s="64" t="s">
        <v>132</v>
      </c>
      <c r="AV126" s="41">
        <f t="shared" si="159"/>
        <v>0</v>
      </c>
      <c r="AW126" s="41">
        <f t="shared" si="160"/>
        <v>0</v>
      </c>
      <c r="AX126" s="41">
        <f t="shared" si="161"/>
        <v>0</v>
      </c>
      <c r="AY126" s="66" t="s">
        <v>502</v>
      </c>
      <c r="AZ126" s="66" t="s">
        <v>511</v>
      </c>
      <c r="BA126" s="59" t="s">
        <v>512</v>
      </c>
      <c r="BC126" s="41">
        <f t="shared" si="162"/>
        <v>0</v>
      </c>
      <c r="BD126" s="41">
        <f t="shared" si="163"/>
        <v>0</v>
      </c>
      <c r="BE126" s="41">
        <v>0</v>
      </c>
      <c r="BF126" s="41">
        <f t="shared" si="164"/>
        <v>0</v>
      </c>
      <c r="BH126" s="54">
        <f t="shared" si="165"/>
        <v>0</v>
      </c>
      <c r="BI126" s="54">
        <f t="shared" si="166"/>
        <v>0</v>
      </c>
      <c r="BJ126" s="54">
        <f t="shared" si="167"/>
        <v>0</v>
      </c>
      <c r="BK126" s="54" t="s">
        <v>517</v>
      </c>
      <c r="BL126" s="41" t="s">
        <v>94</v>
      </c>
    </row>
    <row r="127" spans="1:64" ht="30" customHeight="1">
      <c r="A127" s="110" t="s">
        <v>89</v>
      </c>
      <c r="B127" s="130"/>
      <c r="C127" s="130" t="s">
        <v>325</v>
      </c>
      <c r="D127" s="261" t="s">
        <v>438</v>
      </c>
      <c r="E127" s="262"/>
      <c r="F127" s="111" t="s">
        <v>460</v>
      </c>
      <c r="G127" s="112">
        <v>44</v>
      </c>
      <c r="H127" s="134">
        <v>0</v>
      </c>
      <c r="I127" s="137">
        <f t="shared" si="144"/>
        <v>0</v>
      </c>
      <c r="J127" s="137">
        <f t="shared" si="145"/>
        <v>0</v>
      </c>
      <c r="K127" s="112">
        <f t="shared" si="146"/>
        <v>0</v>
      </c>
      <c r="L127" s="112">
        <v>8E-05</v>
      </c>
      <c r="M127" s="112">
        <f t="shared" si="147"/>
        <v>0.00352</v>
      </c>
      <c r="N127" s="113" t="s">
        <v>585</v>
      </c>
      <c r="O127" s="15"/>
      <c r="Z127" s="41">
        <f t="shared" si="148"/>
        <v>0</v>
      </c>
      <c r="AB127" s="41">
        <f t="shared" si="149"/>
        <v>0</v>
      </c>
      <c r="AC127" s="41">
        <f t="shared" si="150"/>
        <v>0</v>
      </c>
      <c r="AD127" s="41">
        <f t="shared" si="151"/>
        <v>0</v>
      </c>
      <c r="AE127" s="41">
        <f t="shared" si="152"/>
        <v>0</v>
      </c>
      <c r="AF127" s="41">
        <f t="shared" si="153"/>
        <v>0</v>
      </c>
      <c r="AG127" s="41">
        <f t="shared" si="154"/>
        <v>0</v>
      </c>
      <c r="AH127" s="41">
        <f t="shared" si="155"/>
        <v>0</v>
      </c>
      <c r="AI127" s="59"/>
      <c r="AJ127" s="54">
        <f t="shared" si="156"/>
        <v>0</v>
      </c>
      <c r="AK127" s="54">
        <f t="shared" si="157"/>
        <v>0</v>
      </c>
      <c r="AL127" s="54">
        <f t="shared" si="158"/>
        <v>0</v>
      </c>
      <c r="AN127" s="41">
        <v>21</v>
      </c>
      <c r="AO127" s="41">
        <f>H127*0.306236080178174</f>
        <v>0</v>
      </c>
      <c r="AP127" s="41">
        <f>H127*(1-0.306236080178174)</f>
        <v>0</v>
      </c>
      <c r="AQ127" s="64" t="s">
        <v>132</v>
      </c>
      <c r="AV127" s="41">
        <f t="shared" si="159"/>
        <v>0</v>
      </c>
      <c r="AW127" s="41">
        <f t="shared" si="160"/>
        <v>0</v>
      </c>
      <c r="AX127" s="41">
        <f t="shared" si="161"/>
        <v>0</v>
      </c>
      <c r="AY127" s="66" t="s">
        <v>502</v>
      </c>
      <c r="AZ127" s="66" t="s">
        <v>511</v>
      </c>
      <c r="BA127" s="59" t="s">
        <v>512</v>
      </c>
      <c r="BC127" s="41">
        <f t="shared" si="162"/>
        <v>0</v>
      </c>
      <c r="BD127" s="41">
        <f t="shared" si="163"/>
        <v>0</v>
      </c>
      <c r="BE127" s="41">
        <v>0</v>
      </c>
      <c r="BF127" s="41">
        <f t="shared" si="164"/>
        <v>0.00352</v>
      </c>
      <c r="BH127" s="54">
        <f t="shared" si="165"/>
        <v>0</v>
      </c>
      <c r="BI127" s="54">
        <f t="shared" si="166"/>
        <v>0</v>
      </c>
      <c r="BJ127" s="54">
        <f t="shared" si="167"/>
        <v>0</v>
      </c>
      <c r="BK127" s="54" t="s">
        <v>517</v>
      </c>
      <c r="BL127" s="41" t="s">
        <v>94</v>
      </c>
    </row>
    <row r="128" spans="1:64" ht="30" customHeight="1">
      <c r="A128" s="110" t="s">
        <v>219</v>
      </c>
      <c r="B128" s="130"/>
      <c r="C128" s="130" t="s">
        <v>326</v>
      </c>
      <c r="D128" s="261" t="s">
        <v>439</v>
      </c>
      <c r="E128" s="262"/>
      <c r="F128" s="111" t="s">
        <v>464</v>
      </c>
      <c r="G128" s="112">
        <v>1</v>
      </c>
      <c r="H128" s="134">
        <v>0</v>
      </c>
      <c r="I128" s="137">
        <f t="shared" si="144"/>
        <v>0</v>
      </c>
      <c r="J128" s="137">
        <f t="shared" si="145"/>
        <v>0</v>
      </c>
      <c r="K128" s="112">
        <f t="shared" si="146"/>
        <v>0</v>
      </c>
      <c r="L128" s="112">
        <v>0</v>
      </c>
      <c r="M128" s="112">
        <f t="shared" si="147"/>
        <v>0</v>
      </c>
      <c r="N128" s="113" t="s">
        <v>585</v>
      </c>
      <c r="O128" s="15"/>
      <c r="Z128" s="41">
        <f t="shared" si="148"/>
        <v>0</v>
      </c>
      <c r="AB128" s="41">
        <f t="shared" si="149"/>
        <v>0</v>
      </c>
      <c r="AC128" s="41">
        <f t="shared" si="150"/>
        <v>0</v>
      </c>
      <c r="AD128" s="41">
        <f t="shared" si="151"/>
        <v>0</v>
      </c>
      <c r="AE128" s="41">
        <f t="shared" si="152"/>
        <v>0</v>
      </c>
      <c r="AF128" s="41">
        <f t="shared" si="153"/>
        <v>0</v>
      </c>
      <c r="AG128" s="41">
        <f t="shared" si="154"/>
        <v>0</v>
      </c>
      <c r="AH128" s="41">
        <f t="shared" si="155"/>
        <v>0</v>
      </c>
      <c r="AI128" s="59"/>
      <c r="AJ128" s="54">
        <f t="shared" si="156"/>
        <v>0</v>
      </c>
      <c r="AK128" s="54">
        <f t="shared" si="157"/>
        <v>0</v>
      </c>
      <c r="AL128" s="54">
        <f t="shared" si="158"/>
        <v>0</v>
      </c>
      <c r="AN128" s="41">
        <v>21</v>
      </c>
      <c r="AO128" s="41">
        <f>H128*0.497342</f>
        <v>0</v>
      </c>
      <c r="AP128" s="41">
        <f>H128*(1-0.497342)</f>
        <v>0</v>
      </c>
      <c r="AQ128" s="64" t="s">
        <v>132</v>
      </c>
      <c r="AV128" s="41">
        <f t="shared" si="159"/>
        <v>0</v>
      </c>
      <c r="AW128" s="41">
        <f t="shared" si="160"/>
        <v>0</v>
      </c>
      <c r="AX128" s="41">
        <f t="shared" si="161"/>
        <v>0</v>
      </c>
      <c r="AY128" s="66" t="s">
        <v>502</v>
      </c>
      <c r="AZ128" s="66" t="s">
        <v>511</v>
      </c>
      <c r="BA128" s="59" t="s">
        <v>512</v>
      </c>
      <c r="BC128" s="41">
        <f t="shared" si="162"/>
        <v>0</v>
      </c>
      <c r="BD128" s="41">
        <f t="shared" si="163"/>
        <v>0</v>
      </c>
      <c r="BE128" s="41">
        <v>0</v>
      </c>
      <c r="BF128" s="41">
        <f t="shared" si="164"/>
        <v>0</v>
      </c>
      <c r="BH128" s="54">
        <f t="shared" si="165"/>
        <v>0</v>
      </c>
      <c r="BI128" s="54">
        <f t="shared" si="166"/>
        <v>0</v>
      </c>
      <c r="BJ128" s="54">
        <f t="shared" si="167"/>
        <v>0</v>
      </c>
      <c r="BK128" s="54" t="s">
        <v>517</v>
      </c>
      <c r="BL128" s="41" t="s">
        <v>94</v>
      </c>
    </row>
    <row r="129" spans="1:64" ht="30" customHeight="1">
      <c r="A129" s="110" t="s">
        <v>91</v>
      </c>
      <c r="B129" s="130"/>
      <c r="C129" s="130" t="s">
        <v>327</v>
      </c>
      <c r="D129" s="261" t="s">
        <v>440</v>
      </c>
      <c r="E129" s="262"/>
      <c r="F129" s="111" t="s">
        <v>464</v>
      </c>
      <c r="G129" s="112">
        <v>1</v>
      </c>
      <c r="H129" s="134">
        <v>0</v>
      </c>
      <c r="I129" s="137">
        <f t="shared" si="144"/>
        <v>0</v>
      </c>
      <c r="J129" s="137">
        <f t="shared" si="145"/>
        <v>0</v>
      </c>
      <c r="K129" s="112">
        <f t="shared" si="146"/>
        <v>0</v>
      </c>
      <c r="L129" s="112">
        <v>0.00012</v>
      </c>
      <c r="M129" s="112">
        <f t="shared" si="147"/>
        <v>0.00012</v>
      </c>
      <c r="N129" s="113" t="s">
        <v>585</v>
      </c>
      <c r="O129" s="15"/>
      <c r="Z129" s="41">
        <f t="shared" si="148"/>
        <v>0</v>
      </c>
      <c r="AB129" s="41">
        <f t="shared" si="149"/>
        <v>0</v>
      </c>
      <c r="AC129" s="41">
        <f t="shared" si="150"/>
        <v>0</v>
      </c>
      <c r="AD129" s="41">
        <f t="shared" si="151"/>
        <v>0</v>
      </c>
      <c r="AE129" s="41">
        <f t="shared" si="152"/>
        <v>0</v>
      </c>
      <c r="AF129" s="41">
        <f t="shared" si="153"/>
        <v>0</v>
      </c>
      <c r="AG129" s="41">
        <f t="shared" si="154"/>
        <v>0</v>
      </c>
      <c r="AH129" s="41">
        <f t="shared" si="155"/>
        <v>0</v>
      </c>
      <c r="AI129" s="59"/>
      <c r="AJ129" s="54">
        <f t="shared" si="156"/>
        <v>0</v>
      </c>
      <c r="AK129" s="54">
        <f t="shared" si="157"/>
        <v>0</v>
      </c>
      <c r="AL129" s="54">
        <f t="shared" si="158"/>
        <v>0</v>
      </c>
      <c r="AN129" s="41">
        <v>21</v>
      </c>
      <c r="AO129" s="41">
        <f>H129*0.54475</f>
        <v>0</v>
      </c>
      <c r="AP129" s="41">
        <f>H129*(1-0.54475)</f>
        <v>0</v>
      </c>
      <c r="AQ129" s="64" t="s">
        <v>132</v>
      </c>
      <c r="AV129" s="41">
        <f t="shared" si="159"/>
        <v>0</v>
      </c>
      <c r="AW129" s="41">
        <f t="shared" si="160"/>
        <v>0</v>
      </c>
      <c r="AX129" s="41">
        <f t="shared" si="161"/>
        <v>0</v>
      </c>
      <c r="AY129" s="66" t="s">
        <v>502</v>
      </c>
      <c r="AZ129" s="66" t="s">
        <v>511</v>
      </c>
      <c r="BA129" s="59" t="s">
        <v>512</v>
      </c>
      <c r="BC129" s="41">
        <f t="shared" si="162"/>
        <v>0</v>
      </c>
      <c r="BD129" s="41">
        <f t="shared" si="163"/>
        <v>0</v>
      </c>
      <c r="BE129" s="41">
        <v>0</v>
      </c>
      <c r="BF129" s="41">
        <f t="shared" si="164"/>
        <v>0.00012</v>
      </c>
      <c r="BH129" s="54">
        <f t="shared" si="165"/>
        <v>0</v>
      </c>
      <c r="BI129" s="54">
        <f t="shared" si="166"/>
        <v>0</v>
      </c>
      <c r="BJ129" s="54">
        <f t="shared" si="167"/>
        <v>0</v>
      </c>
      <c r="BK129" s="54" t="s">
        <v>517</v>
      </c>
      <c r="BL129" s="41" t="s">
        <v>94</v>
      </c>
    </row>
    <row r="130" spans="1:64" ht="30" customHeight="1">
      <c r="A130" s="110" t="s">
        <v>92</v>
      </c>
      <c r="B130" s="130"/>
      <c r="C130" s="130" t="s">
        <v>328</v>
      </c>
      <c r="D130" s="261" t="s">
        <v>588</v>
      </c>
      <c r="E130" s="262"/>
      <c r="F130" s="111" t="s">
        <v>460</v>
      </c>
      <c r="G130" s="112">
        <v>8</v>
      </c>
      <c r="H130" s="134">
        <v>0</v>
      </c>
      <c r="I130" s="137">
        <f t="shared" si="144"/>
        <v>0</v>
      </c>
      <c r="J130" s="137">
        <f t="shared" si="145"/>
        <v>0</v>
      </c>
      <c r="K130" s="112">
        <f t="shared" si="146"/>
        <v>0</v>
      </c>
      <c r="L130" s="112">
        <v>0</v>
      </c>
      <c r="M130" s="112">
        <f t="shared" si="147"/>
        <v>0</v>
      </c>
      <c r="N130" s="113" t="s">
        <v>585</v>
      </c>
      <c r="O130" s="15"/>
      <c r="Z130" s="41">
        <f t="shared" si="148"/>
        <v>0</v>
      </c>
      <c r="AB130" s="41">
        <f t="shared" si="149"/>
        <v>0</v>
      </c>
      <c r="AC130" s="41">
        <f t="shared" si="150"/>
        <v>0</v>
      </c>
      <c r="AD130" s="41">
        <f t="shared" si="151"/>
        <v>0</v>
      </c>
      <c r="AE130" s="41">
        <f t="shared" si="152"/>
        <v>0</v>
      </c>
      <c r="AF130" s="41">
        <f t="shared" si="153"/>
        <v>0</v>
      </c>
      <c r="AG130" s="41">
        <f t="shared" si="154"/>
        <v>0</v>
      </c>
      <c r="AH130" s="41">
        <f t="shared" si="155"/>
        <v>0</v>
      </c>
      <c r="AI130" s="59"/>
      <c r="AJ130" s="54">
        <f t="shared" si="156"/>
        <v>0</v>
      </c>
      <c r="AK130" s="54">
        <f t="shared" si="157"/>
        <v>0</v>
      </c>
      <c r="AL130" s="54">
        <f t="shared" si="158"/>
        <v>0</v>
      </c>
      <c r="AN130" s="41">
        <v>21</v>
      </c>
      <c r="AO130" s="41">
        <f>H130*0.81852450188476</f>
        <v>0</v>
      </c>
      <c r="AP130" s="41">
        <f>H130*(1-0.81852450188476)</f>
        <v>0</v>
      </c>
      <c r="AQ130" s="64" t="s">
        <v>132</v>
      </c>
      <c r="AV130" s="41">
        <f t="shared" si="159"/>
        <v>0</v>
      </c>
      <c r="AW130" s="41">
        <f t="shared" si="160"/>
        <v>0</v>
      </c>
      <c r="AX130" s="41">
        <f t="shared" si="161"/>
        <v>0</v>
      </c>
      <c r="AY130" s="66" t="s">
        <v>502</v>
      </c>
      <c r="AZ130" s="66" t="s">
        <v>511</v>
      </c>
      <c r="BA130" s="59" t="s">
        <v>512</v>
      </c>
      <c r="BC130" s="41">
        <f t="shared" si="162"/>
        <v>0</v>
      </c>
      <c r="BD130" s="41">
        <f t="shared" si="163"/>
        <v>0</v>
      </c>
      <c r="BE130" s="41">
        <v>0</v>
      </c>
      <c r="BF130" s="41">
        <f t="shared" si="164"/>
        <v>0</v>
      </c>
      <c r="BH130" s="54">
        <f t="shared" si="165"/>
        <v>0</v>
      </c>
      <c r="BI130" s="54">
        <f t="shared" si="166"/>
        <v>0</v>
      </c>
      <c r="BJ130" s="54">
        <f t="shared" si="167"/>
        <v>0</v>
      </c>
      <c r="BK130" s="54" t="s">
        <v>517</v>
      </c>
      <c r="BL130" s="41" t="s">
        <v>94</v>
      </c>
    </row>
    <row r="131" spans="1:64" ht="30" customHeight="1">
      <c r="A131" s="110" t="s">
        <v>220</v>
      </c>
      <c r="B131" s="130"/>
      <c r="C131" s="130" t="s">
        <v>329</v>
      </c>
      <c r="D131" s="261" t="s">
        <v>442</v>
      </c>
      <c r="E131" s="262"/>
      <c r="F131" s="111" t="s">
        <v>464</v>
      </c>
      <c r="G131" s="112">
        <v>1</v>
      </c>
      <c r="H131" s="134">
        <v>0</v>
      </c>
      <c r="I131" s="137">
        <f t="shared" si="144"/>
        <v>0</v>
      </c>
      <c r="J131" s="137">
        <f t="shared" si="145"/>
        <v>0</v>
      </c>
      <c r="K131" s="112">
        <f t="shared" si="146"/>
        <v>0</v>
      </c>
      <c r="L131" s="112">
        <v>6E-05</v>
      </c>
      <c r="M131" s="112">
        <f t="shared" si="147"/>
        <v>6E-05</v>
      </c>
      <c r="N131" s="113" t="s">
        <v>585</v>
      </c>
      <c r="O131" s="15"/>
      <c r="Z131" s="41">
        <f t="shared" si="148"/>
        <v>0</v>
      </c>
      <c r="AB131" s="41">
        <f t="shared" si="149"/>
        <v>0</v>
      </c>
      <c r="AC131" s="41">
        <f t="shared" si="150"/>
        <v>0</v>
      </c>
      <c r="AD131" s="41">
        <f t="shared" si="151"/>
        <v>0</v>
      </c>
      <c r="AE131" s="41">
        <f t="shared" si="152"/>
        <v>0</v>
      </c>
      <c r="AF131" s="41">
        <f t="shared" si="153"/>
        <v>0</v>
      </c>
      <c r="AG131" s="41">
        <f t="shared" si="154"/>
        <v>0</v>
      </c>
      <c r="AH131" s="41">
        <f t="shared" si="155"/>
        <v>0</v>
      </c>
      <c r="AI131" s="59"/>
      <c r="AJ131" s="54">
        <f t="shared" si="156"/>
        <v>0</v>
      </c>
      <c r="AK131" s="54">
        <f t="shared" si="157"/>
        <v>0</v>
      </c>
      <c r="AL131" s="54">
        <f t="shared" si="158"/>
        <v>0</v>
      </c>
      <c r="AN131" s="41">
        <v>21</v>
      </c>
      <c r="AO131" s="41">
        <f>H131*0.938511326860841</f>
        <v>0</v>
      </c>
      <c r="AP131" s="41">
        <f>H131*(1-0.938511326860841)</f>
        <v>0</v>
      </c>
      <c r="AQ131" s="64" t="s">
        <v>132</v>
      </c>
      <c r="AV131" s="41">
        <f t="shared" si="159"/>
        <v>0</v>
      </c>
      <c r="AW131" s="41">
        <f t="shared" si="160"/>
        <v>0</v>
      </c>
      <c r="AX131" s="41">
        <f t="shared" si="161"/>
        <v>0</v>
      </c>
      <c r="AY131" s="66" t="s">
        <v>502</v>
      </c>
      <c r="AZ131" s="66" t="s">
        <v>511</v>
      </c>
      <c r="BA131" s="59" t="s">
        <v>512</v>
      </c>
      <c r="BC131" s="41">
        <f t="shared" si="162"/>
        <v>0</v>
      </c>
      <c r="BD131" s="41">
        <f t="shared" si="163"/>
        <v>0</v>
      </c>
      <c r="BE131" s="41">
        <v>0</v>
      </c>
      <c r="BF131" s="41">
        <f t="shared" si="164"/>
        <v>6E-05</v>
      </c>
      <c r="BH131" s="54">
        <f t="shared" si="165"/>
        <v>0</v>
      </c>
      <c r="BI131" s="54">
        <f t="shared" si="166"/>
        <v>0</v>
      </c>
      <c r="BJ131" s="54">
        <f t="shared" si="167"/>
        <v>0</v>
      </c>
      <c r="BK131" s="54" t="s">
        <v>517</v>
      </c>
      <c r="BL131" s="41" t="s">
        <v>94</v>
      </c>
    </row>
    <row r="132" spans="1:64" ht="30" customHeight="1">
      <c r="A132" s="110" t="s">
        <v>221</v>
      </c>
      <c r="B132" s="130"/>
      <c r="C132" s="130" t="s">
        <v>330</v>
      </c>
      <c r="D132" s="261" t="s">
        <v>443</v>
      </c>
      <c r="E132" s="262"/>
      <c r="F132" s="111" t="s">
        <v>457</v>
      </c>
      <c r="G132" s="112">
        <v>6</v>
      </c>
      <c r="H132" s="134">
        <v>0</v>
      </c>
      <c r="I132" s="137">
        <f t="shared" si="144"/>
        <v>0</v>
      </c>
      <c r="J132" s="137">
        <f t="shared" si="145"/>
        <v>0</v>
      </c>
      <c r="K132" s="112">
        <f t="shared" si="146"/>
        <v>0</v>
      </c>
      <c r="L132" s="112">
        <v>4E-05</v>
      </c>
      <c r="M132" s="112">
        <f t="shared" si="147"/>
        <v>0.00024000000000000003</v>
      </c>
      <c r="N132" s="113" t="s">
        <v>585</v>
      </c>
      <c r="O132" s="15"/>
      <c r="Z132" s="41">
        <f t="shared" si="148"/>
        <v>0</v>
      </c>
      <c r="AB132" s="41">
        <f t="shared" si="149"/>
        <v>0</v>
      </c>
      <c r="AC132" s="41">
        <f t="shared" si="150"/>
        <v>0</v>
      </c>
      <c r="AD132" s="41">
        <f t="shared" si="151"/>
        <v>0</v>
      </c>
      <c r="AE132" s="41">
        <f t="shared" si="152"/>
        <v>0</v>
      </c>
      <c r="AF132" s="41">
        <f t="shared" si="153"/>
        <v>0</v>
      </c>
      <c r="AG132" s="41">
        <f t="shared" si="154"/>
        <v>0</v>
      </c>
      <c r="AH132" s="41">
        <f t="shared" si="155"/>
        <v>0</v>
      </c>
      <c r="AI132" s="59"/>
      <c r="AJ132" s="54">
        <f t="shared" si="156"/>
        <v>0</v>
      </c>
      <c r="AK132" s="54">
        <f t="shared" si="157"/>
        <v>0</v>
      </c>
      <c r="AL132" s="54">
        <f t="shared" si="158"/>
        <v>0</v>
      </c>
      <c r="AN132" s="41">
        <v>21</v>
      </c>
      <c r="AO132" s="41">
        <f>H132*0.278343216213824</f>
        <v>0</v>
      </c>
      <c r="AP132" s="41">
        <f>H132*(1-0.278343216213824)</f>
        <v>0</v>
      </c>
      <c r="AQ132" s="64" t="s">
        <v>132</v>
      </c>
      <c r="AV132" s="41">
        <f t="shared" si="159"/>
        <v>0</v>
      </c>
      <c r="AW132" s="41">
        <f t="shared" si="160"/>
        <v>0</v>
      </c>
      <c r="AX132" s="41">
        <f t="shared" si="161"/>
        <v>0</v>
      </c>
      <c r="AY132" s="66" t="s">
        <v>502</v>
      </c>
      <c r="AZ132" s="66" t="s">
        <v>511</v>
      </c>
      <c r="BA132" s="59" t="s">
        <v>512</v>
      </c>
      <c r="BC132" s="41">
        <f t="shared" si="162"/>
        <v>0</v>
      </c>
      <c r="BD132" s="41">
        <f t="shared" si="163"/>
        <v>0</v>
      </c>
      <c r="BE132" s="41">
        <v>0</v>
      </c>
      <c r="BF132" s="41">
        <f t="shared" si="164"/>
        <v>0.00024000000000000003</v>
      </c>
      <c r="BH132" s="54">
        <f t="shared" si="165"/>
        <v>0</v>
      </c>
      <c r="BI132" s="54">
        <f t="shared" si="166"/>
        <v>0</v>
      </c>
      <c r="BJ132" s="54">
        <f t="shared" si="167"/>
        <v>0</v>
      </c>
      <c r="BK132" s="54" t="s">
        <v>517</v>
      </c>
      <c r="BL132" s="41" t="s">
        <v>94</v>
      </c>
    </row>
    <row r="133" spans="1:47" ht="30" customHeight="1">
      <c r="A133" s="114"/>
      <c r="B133" s="131"/>
      <c r="C133" s="131" t="s">
        <v>95</v>
      </c>
      <c r="D133" s="263" t="s">
        <v>119</v>
      </c>
      <c r="E133" s="264"/>
      <c r="F133" s="116" t="s">
        <v>71</v>
      </c>
      <c r="G133" s="116" t="s">
        <v>71</v>
      </c>
      <c r="H133" s="116" t="s">
        <v>71</v>
      </c>
      <c r="I133" s="138" t="s">
        <v>71</v>
      </c>
      <c r="J133" s="138" t="s">
        <v>71</v>
      </c>
      <c r="K133" s="117">
        <f>SUM(K134:K144)</f>
        <v>0</v>
      </c>
      <c r="L133" s="118"/>
      <c r="M133" s="117">
        <f>SUM(M134:M144)</f>
        <v>0</v>
      </c>
      <c r="N133" s="119"/>
      <c r="O133" s="15"/>
      <c r="AI133" s="59"/>
      <c r="AS133" s="69">
        <f>SUM(AJ134:AJ144)</f>
        <v>0</v>
      </c>
      <c r="AT133" s="69">
        <f>SUM(AK134:AK144)</f>
        <v>0</v>
      </c>
      <c r="AU133" s="69">
        <f>SUM(AL134:AL144)</f>
        <v>0</v>
      </c>
    </row>
    <row r="134" spans="1:64" ht="30" customHeight="1">
      <c r="A134" s="110" t="s">
        <v>222</v>
      </c>
      <c r="B134" s="130"/>
      <c r="C134" s="130" t="s">
        <v>331</v>
      </c>
      <c r="D134" s="261" t="s">
        <v>444</v>
      </c>
      <c r="E134" s="262"/>
      <c r="F134" s="111" t="s">
        <v>463</v>
      </c>
      <c r="G134" s="112">
        <v>13.5</v>
      </c>
      <c r="H134" s="134">
        <v>0</v>
      </c>
      <c r="I134" s="137">
        <f aca="true" t="shared" si="168" ref="I134:I144">G134*AO134</f>
        <v>0</v>
      </c>
      <c r="J134" s="137">
        <f aca="true" t="shared" si="169" ref="J134:J144">G134*AP134</f>
        <v>0</v>
      </c>
      <c r="K134" s="112">
        <f aca="true" t="shared" si="170" ref="K134:K144">G134*H134</f>
        <v>0</v>
      </c>
      <c r="L134" s="112">
        <v>0</v>
      </c>
      <c r="M134" s="112">
        <f aca="true" t="shared" si="171" ref="M134:M144">G134*L134</f>
        <v>0</v>
      </c>
      <c r="N134" s="113" t="s">
        <v>585</v>
      </c>
      <c r="O134" s="15"/>
      <c r="Z134" s="41">
        <f aca="true" t="shared" si="172" ref="Z134:Z144">IF(AQ134="5",BJ134,0)</f>
        <v>0</v>
      </c>
      <c r="AB134" s="41">
        <f aca="true" t="shared" si="173" ref="AB134:AB144">IF(AQ134="1",BH134,0)</f>
        <v>0</v>
      </c>
      <c r="AC134" s="41">
        <f aca="true" t="shared" si="174" ref="AC134:AC144">IF(AQ134="1",BI134,0)</f>
        <v>0</v>
      </c>
      <c r="AD134" s="41">
        <f aca="true" t="shared" si="175" ref="AD134:AD144">IF(AQ134="7",BH134,0)</f>
        <v>0</v>
      </c>
      <c r="AE134" s="41">
        <f aca="true" t="shared" si="176" ref="AE134:AE144">IF(AQ134="7",BI134,0)</f>
        <v>0</v>
      </c>
      <c r="AF134" s="41">
        <f aca="true" t="shared" si="177" ref="AF134:AF144">IF(AQ134="2",BH134,0)</f>
        <v>0</v>
      </c>
      <c r="AG134" s="41">
        <f aca="true" t="shared" si="178" ref="AG134:AG144">IF(AQ134="2",BI134,0)</f>
        <v>0</v>
      </c>
      <c r="AH134" s="41">
        <f aca="true" t="shared" si="179" ref="AH134:AH144">IF(AQ134="0",BJ134,0)</f>
        <v>0</v>
      </c>
      <c r="AI134" s="59"/>
      <c r="AJ134" s="54">
        <f aca="true" t="shared" si="180" ref="AJ134:AJ144">IF(AN134=0,K134,0)</f>
        <v>0</v>
      </c>
      <c r="AK134" s="54">
        <f aca="true" t="shared" si="181" ref="AK134:AK144">IF(AN134=15,K134,0)</f>
        <v>0</v>
      </c>
      <c r="AL134" s="54">
        <f aca="true" t="shared" si="182" ref="AL134:AL144">IF(AN134=21,K134,0)</f>
        <v>0</v>
      </c>
      <c r="AN134" s="41">
        <v>21</v>
      </c>
      <c r="AO134" s="41">
        <f aca="true" t="shared" si="183" ref="AO134:AO144">H134*0</f>
        <v>0</v>
      </c>
      <c r="AP134" s="41">
        <f aca="true" t="shared" si="184" ref="AP134:AP144">H134*(1-0)</f>
        <v>0</v>
      </c>
      <c r="AQ134" s="64" t="s">
        <v>135</v>
      </c>
      <c r="AV134" s="41">
        <f aca="true" t="shared" si="185" ref="AV134:AV144">AW134+AX134</f>
        <v>0</v>
      </c>
      <c r="AW134" s="41">
        <f aca="true" t="shared" si="186" ref="AW134:AW144">G134*AO134</f>
        <v>0</v>
      </c>
      <c r="AX134" s="41">
        <f aca="true" t="shared" si="187" ref="AX134:AX144">G134*AP134</f>
        <v>0</v>
      </c>
      <c r="AY134" s="66" t="s">
        <v>503</v>
      </c>
      <c r="AZ134" s="66" t="s">
        <v>511</v>
      </c>
      <c r="BA134" s="59" t="s">
        <v>512</v>
      </c>
      <c r="BC134" s="41">
        <f aca="true" t="shared" si="188" ref="BC134:BC144">AW134+AX134</f>
        <v>0</v>
      </c>
      <c r="BD134" s="41">
        <f aca="true" t="shared" si="189" ref="BD134:BD144">H134/(100-BE134)*100</f>
        <v>0</v>
      </c>
      <c r="BE134" s="41">
        <v>0</v>
      </c>
      <c r="BF134" s="41">
        <f aca="true" t="shared" si="190" ref="BF134:BF144">M134</f>
        <v>0</v>
      </c>
      <c r="BH134" s="54">
        <f aca="true" t="shared" si="191" ref="BH134:BH144">G134*AO134</f>
        <v>0</v>
      </c>
      <c r="BI134" s="54">
        <f aca="true" t="shared" si="192" ref="BI134:BI144">G134*AP134</f>
        <v>0</v>
      </c>
      <c r="BJ134" s="54">
        <f aca="true" t="shared" si="193" ref="BJ134:BJ144">G134*H134</f>
        <v>0</v>
      </c>
      <c r="BK134" s="54" t="s">
        <v>517</v>
      </c>
      <c r="BL134" s="41" t="s">
        <v>95</v>
      </c>
    </row>
    <row r="135" spans="1:64" ht="30" customHeight="1">
      <c r="A135" s="110" t="s">
        <v>223</v>
      </c>
      <c r="B135" s="130"/>
      <c r="C135" s="130" t="s">
        <v>332</v>
      </c>
      <c r="D135" s="261" t="s">
        <v>445</v>
      </c>
      <c r="E135" s="262"/>
      <c r="F135" s="111" t="s">
        <v>463</v>
      </c>
      <c r="G135" s="112">
        <v>13.5</v>
      </c>
      <c r="H135" s="134">
        <v>0</v>
      </c>
      <c r="I135" s="137">
        <f t="shared" si="168"/>
        <v>0</v>
      </c>
      <c r="J135" s="137">
        <f t="shared" si="169"/>
        <v>0</v>
      </c>
      <c r="K135" s="112">
        <f t="shared" si="170"/>
        <v>0</v>
      </c>
      <c r="L135" s="112">
        <v>0</v>
      </c>
      <c r="M135" s="112">
        <f t="shared" si="171"/>
        <v>0</v>
      </c>
      <c r="N135" s="113" t="s">
        <v>585</v>
      </c>
      <c r="O135" s="15"/>
      <c r="Z135" s="41">
        <f t="shared" si="172"/>
        <v>0</v>
      </c>
      <c r="AB135" s="41">
        <f t="shared" si="173"/>
        <v>0</v>
      </c>
      <c r="AC135" s="41">
        <f t="shared" si="174"/>
        <v>0</v>
      </c>
      <c r="AD135" s="41">
        <f t="shared" si="175"/>
        <v>0</v>
      </c>
      <c r="AE135" s="41">
        <f t="shared" si="176"/>
        <v>0</v>
      </c>
      <c r="AF135" s="41">
        <f t="shared" si="177"/>
        <v>0</v>
      </c>
      <c r="AG135" s="41">
        <f t="shared" si="178"/>
        <v>0</v>
      </c>
      <c r="AH135" s="41">
        <f t="shared" si="179"/>
        <v>0</v>
      </c>
      <c r="AI135" s="59"/>
      <c r="AJ135" s="54">
        <f t="shared" si="180"/>
        <v>0</v>
      </c>
      <c r="AK135" s="54">
        <f t="shared" si="181"/>
        <v>0</v>
      </c>
      <c r="AL135" s="54">
        <f t="shared" si="182"/>
        <v>0</v>
      </c>
      <c r="AN135" s="41">
        <v>21</v>
      </c>
      <c r="AO135" s="41">
        <f t="shared" si="183"/>
        <v>0</v>
      </c>
      <c r="AP135" s="41">
        <f t="shared" si="184"/>
        <v>0</v>
      </c>
      <c r="AQ135" s="64" t="s">
        <v>135</v>
      </c>
      <c r="AV135" s="41">
        <f t="shared" si="185"/>
        <v>0</v>
      </c>
      <c r="AW135" s="41">
        <f t="shared" si="186"/>
        <v>0</v>
      </c>
      <c r="AX135" s="41">
        <f t="shared" si="187"/>
        <v>0</v>
      </c>
      <c r="AY135" s="66" t="s">
        <v>503</v>
      </c>
      <c r="AZ135" s="66" t="s">
        <v>511</v>
      </c>
      <c r="BA135" s="59" t="s">
        <v>512</v>
      </c>
      <c r="BC135" s="41">
        <f t="shared" si="188"/>
        <v>0</v>
      </c>
      <c r="BD135" s="41">
        <f t="shared" si="189"/>
        <v>0</v>
      </c>
      <c r="BE135" s="41">
        <v>0</v>
      </c>
      <c r="BF135" s="41">
        <f t="shared" si="190"/>
        <v>0</v>
      </c>
      <c r="BH135" s="54">
        <f t="shared" si="191"/>
        <v>0</v>
      </c>
      <c r="BI135" s="54">
        <f t="shared" si="192"/>
        <v>0</v>
      </c>
      <c r="BJ135" s="54">
        <f t="shared" si="193"/>
        <v>0</v>
      </c>
      <c r="BK135" s="54" t="s">
        <v>517</v>
      </c>
      <c r="BL135" s="41" t="s">
        <v>95</v>
      </c>
    </row>
    <row r="136" spans="1:64" ht="30" customHeight="1">
      <c r="A136" s="110" t="s">
        <v>224</v>
      </c>
      <c r="B136" s="130"/>
      <c r="C136" s="130" t="s">
        <v>333</v>
      </c>
      <c r="D136" s="261" t="s">
        <v>446</v>
      </c>
      <c r="E136" s="262"/>
      <c r="F136" s="111" t="s">
        <v>463</v>
      </c>
      <c r="G136" s="112">
        <v>337.5</v>
      </c>
      <c r="H136" s="134">
        <v>0</v>
      </c>
      <c r="I136" s="137">
        <f t="shared" si="168"/>
        <v>0</v>
      </c>
      <c r="J136" s="137">
        <f t="shared" si="169"/>
        <v>0</v>
      </c>
      <c r="K136" s="112">
        <f t="shared" si="170"/>
        <v>0</v>
      </c>
      <c r="L136" s="112">
        <v>0</v>
      </c>
      <c r="M136" s="112">
        <f t="shared" si="171"/>
        <v>0</v>
      </c>
      <c r="N136" s="113" t="s">
        <v>585</v>
      </c>
      <c r="O136" s="15"/>
      <c r="Z136" s="41">
        <f t="shared" si="172"/>
        <v>0</v>
      </c>
      <c r="AB136" s="41">
        <f t="shared" si="173"/>
        <v>0</v>
      </c>
      <c r="AC136" s="41">
        <f t="shared" si="174"/>
        <v>0</v>
      </c>
      <c r="AD136" s="41">
        <f t="shared" si="175"/>
        <v>0</v>
      </c>
      <c r="AE136" s="41">
        <f t="shared" si="176"/>
        <v>0</v>
      </c>
      <c r="AF136" s="41">
        <f t="shared" si="177"/>
        <v>0</v>
      </c>
      <c r="AG136" s="41">
        <f t="shared" si="178"/>
        <v>0</v>
      </c>
      <c r="AH136" s="41">
        <f t="shared" si="179"/>
        <v>0</v>
      </c>
      <c r="AI136" s="59"/>
      <c r="AJ136" s="54">
        <f t="shared" si="180"/>
        <v>0</v>
      </c>
      <c r="AK136" s="54">
        <f t="shared" si="181"/>
        <v>0</v>
      </c>
      <c r="AL136" s="54">
        <f t="shared" si="182"/>
        <v>0</v>
      </c>
      <c r="AN136" s="41">
        <v>21</v>
      </c>
      <c r="AO136" s="41">
        <f t="shared" si="183"/>
        <v>0</v>
      </c>
      <c r="AP136" s="41">
        <f t="shared" si="184"/>
        <v>0</v>
      </c>
      <c r="AQ136" s="64" t="s">
        <v>135</v>
      </c>
      <c r="AV136" s="41">
        <f t="shared" si="185"/>
        <v>0</v>
      </c>
      <c r="AW136" s="41">
        <f t="shared" si="186"/>
        <v>0</v>
      </c>
      <c r="AX136" s="41">
        <f t="shared" si="187"/>
        <v>0</v>
      </c>
      <c r="AY136" s="66" t="s">
        <v>503</v>
      </c>
      <c r="AZ136" s="66" t="s">
        <v>511</v>
      </c>
      <c r="BA136" s="59" t="s">
        <v>512</v>
      </c>
      <c r="BC136" s="41">
        <f t="shared" si="188"/>
        <v>0</v>
      </c>
      <c r="BD136" s="41">
        <f t="shared" si="189"/>
        <v>0</v>
      </c>
      <c r="BE136" s="41">
        <v>0</v>
      </c>
      <c r="BF136" s="41">
        <f t="shared" si="190"/>
        <v>0</v>
      </c>
      <c r="BH136" s="54">
        <f t="shared" si="191"/>
        <v>0</v>
      </c>
      <c r="BI136" s="54">
        <f t="shared" si="192"/>
        <v>0</v>
      </c>
      <c r="BJ136" s="54">
        <f t="shared" si="193"/>
        <v>0</v>
      </c>
      <c r="BK136" s="54" t="s">
        <v>517</v>
      </c>
      <c r="BL136" s="41" t="s">
        <v>95</v>
      </c>
    </row>
    <row r="137" spans="1:64" ht="30" customHeight="1">
      <c r="A137" s="110" t="s">
        <v>225</v>
      </c>
      <c r="B137" s="130"/>
      <c r="C137" s="130" t="s">
        <v>334</v>
      </c>
      <c r="D137" s="261" t="s">
        <v>447</v>
      </c>
      <c r="E137" s="262"/>
      <c r="F137" s="111" t="s">
        <v>463</v>
      </c>
      <c r="G137" s="112">
        <v>13.5</v>
      </c>
      <c r="H137" s="134">
        <v>0</v>
      </c>
      <c r="I137" s="137">
        <f t="shared" si="168"/>
        <v>0</v>
      </c>
      <c r="J137" s="137">
        <f t="shared" si="169"/>
        <v>0</v>
      </c>
      <c r="K137" s="112">
        <f t="shared" si="170"/>
        <v>0</v>
      </c>
      <c r="L137" s="112">
        <v>0</v>
      </c>
      <c r="M137" s="112">
        <f t="shared" si="171"/>
        <v>0</v>
      </c>
      <c r="N137" s="113" t="s">
        <v>585</v>
      </c>
      <c r="O137" s="15"/>
      <c r="Z137" s="41">
        <f t="shared" si="172"/>
        <v>0</v>
      </c>
      <c r="AB137" s="41">
        <f t="shared" si="173"/>
        <v>0</v>
      </c>
      <c r="AC137" s="41">
        <f t="shared" si="174"/>
        <v>0</v>
      </c>
      <c r="AD137" s="41">
        <f t="shared" si="175"/>
        <v>0</v>
      </c>
      <c r="AE137" s="41">
        <f t="shared" si="176"/>
        <v>0</v>
      </c>
      <c r="AF137" s="41">
        <f t="shared" si="177"/>
        <v>0</v>
      </c>
      <c r="AG137" s="41">
        <f t="shared" si="178"/>
        <v>0</v>
      </c>
      <c r="AH137" s="41">
        <f t="shared" si="179"/>
        <v>0</v>
      </c>
      <c r="AI137" s="59"/>
      <c r="AJ137" s="54">
        <f t="shared" si="180"/>
        <v>0</v>
      </c>
      <c r="AK137" s="54">
        <f t="shared" si="181"/>
        <v>0</v>
      </c>
      <c r="AL137" s="54">
        <f t="shared" si="182"/>
        <v>0</v>
      </c>
      <c r="AN137" s="41">
        <v>21</v>
      </c>
      <c r="AO137" s="41">
        <f t="shared" si="183"/>
        <v>0</v>
      </c>
      <c r="AP137" s="41">
        <f t="shared" si="184"/>
        <v>0</v>
      </c>
      <c r="AQ137" s="64" t="s">
        <v>135</v>
      </c>
      <c r="AV137" s="41">
        <f t="shared" si="185"/>
        <v>0</v>
      </c>
      <c r="AW137" s="41">
        <f t="shared" si="186"/>
        <v>0</v>
      </c>
      <c r="AX137" s="41">
        <f t="shared" si="187"/>
        <v>0</v>
      </c>
      <c r="AY137" s="66" t="s">
        <v>503</v>
      </c>
      <c r="AZ137" s="66" t="s">
        <v>511</v>
      </c>
      <c r="BA137" s="59" t="s">
        <v>512</v>
      </c>
      <c r="BC137" s="41">
        <f t="shared" si="188"/>
        <v>0</v>
      </c>
      <c r="BD137" s="41">
        <f t="shared" si="189"/>
        <v>0</v>
      </c>
      <c r="BE137" s="41">
        <v>0</v>
      </c>
      <c r="BF137" s="41">
        <f t="shared" si="190"/>
        <v>0</v>
      </c>
      <c r="BH137" s="54">
        <f t="shared" si="191"/>
        <v>0</v>
      </c>
      <c r="BI137" s="54">
        <f t="shared" si="192"/>
        <v>0</v>
      </c>
      <c r="BJ137" s="54">
        <f t="shared" si="193"/>
        <v>0</v>
      </c>
      <c r="BK137" s="54" t="s">
        <v>517</v>
      </c>
      <c r="BL137" s="41" t="s">
        <v>95</v>
      </c>
    </row>
    <row r="138" spans="1:64" ht="30" customHeight="1">
      <c r="A138" s="110" t="s">
        <v>226</v>
      </c>
      <c r="B138" s="130"/>
      <c r="C138" s="130" t="s">
        <v>335</v>
      </c>
      <c r="D138" s="261" t="s">
        <v>448</v>
      </c>
      <c r="E138" s="262"/>
      <c r="F138" s="111" t="s">
        <v>463</v>
      </c>
      <c r="G138" s="112">
        <v>11.5</v>
      </c>
      <c r="H138" s="134">
        <v>0</v>
      </c>
      <c r="I138" s="137">
        <f t="shared" si="168"/>
        <v>0</v>
      </c>
      <c r="J138" s="137">
        <f t="shared" si="169"/>
        <v>0</v>
      </c>
      <c r="K138" s="112">
        <f t="shared" si="170"/>
        <v>0</v>
      </c>
      <c r="L138" s="112">
        <v>0</v>
      </c>
      <c r="M138" s="112">
        <f t="shared" si="171"/>
        <v>0</v>
      </c>
      <c r="N138" s="113" t="s">
        <v>585</v>
      </c>
      <c r="O138" s="15"/>
      <c r="Z138" s="41">
        <f t="shared" si="172"/>
        <v>0</v>
      </c>
      <c r="AB138" s="41">
        <f t="shared" si="173"/>
        <v>0</v>
      </c>
      <c r="AC138" s="41">
        <f t="shared" si="174"/>
        <v>0</v>
      </c>
      <c r="AD138" s="41">
        <f t="shared" si="175"/>
        <v>0</v>
      </c>
      <c r="AE138" s="41">
        <f t="shared" si="176"/>
        <v>0</v>
      </c>
      <c r="AF138" s="41">
        <f t="shared" si="177"/>
        <v>0</v>
      </c>
      <c r="AG138" s="41">
        <f t="shared" si="178"/>
        <v>0</v>
      </c>
      <c r="AH138" s="41">
        <f t="shared" si="179"/>
        <v>0</v>
      </c>
      <c r="AI138" s="59"/>
      <c r="AJ138" s="54">
        <f t="shared" si="180"/>
        <v>0</v>
      </c>
      <c r="AK138" s="54">
        <f t="shared" si="181"/>
        <v>0</v>
      </c>
      <c r="AL138" s="54">
        <f t="shared" si="182"/>
        <v>0</v>
      </c>
      <c r="AN138" s="41">
        <v>21</v>
      </c>
      <c r="AO138" s="41">
        <f t="shared" si="183"/>
        <v>0</v>
      </c>
      <c r="AP138" s="41">
        <f t="shared" si="184"/>
        <v>0</v>
      </c>
      <c r="AQ138" s="64" t="s">
        <v>135</v>
      </c>
      <c r="AV138" s="41">
        <f t="shared" si="185"/>
        <v>0</v>
      </c>
      <c r="AW138" s="41">
        <f t="shared" si="186"/>
        <v>0</v>
      </c>
      <c r="AX138" s="41">
        <f t="shared" si="187"/>
        <v>0</v>
      </c>
      <c r="AY138" s="66" t="s">
        <v>503</v>
      </c>
      <c r="AZ138" s="66" t="s">
        <v>511</v>
      </c>
      <c r="BA138" s="59" t="s">
        <v>512</v>
      </c>
      <c r="BC138" s="41">
        <f t="shared" si="188"/>
        <v>0</v>
      </c>
      <c r="BD138" s="41">
        <f t="shared" si="189"/>
        <v>0</v>
      </c>
      <c r="BE138" s="41">
        <v>0</v>
      </c>
      <c r="BF138" s="41">
        <f t="shared" si="190"/>
        <v>0</v>
      </c>
      <c r="BH138" s="54">
        <f t="shared" si="191"/>
        <v>0</v>
      </c>
      <c r="BI138" s="54">
        <f t="shared" si="192"/>
        <v>0</v>
      </c>
      <c r="BJ138" s="54">
        <f t="shared" si="193"/>
        <v>0</v>
      </c>
      <c r="BK138" s="54" t="s">
        <v>517</v>
      </c>
      <c r="BL138" s="41" t="s">
        <v>95</v>
      </c>
    </row>
    <row r="139" spans="1:64" ht="30" customHeight="1">
      <c r="A139" s="110" t="s">
        <v>227</v>
      </c>
      <c r="B139" s="130"/>
      <c r="C139" s="130" t="s">
        <v>336</v>
      </c>
      <c r="D139" s="261" t="s">
        <v>449</v>
      </c>
      <c r="E139" s="262"/>
      <c r="F139" s="111" t="s">
        <v>463</v>
      </c>
      <c r="G139" s="112">
        <v>270</v>
      </c>
      <c r="H139" s="134">
        <v>0</v>
      </c>
      <c r="I139" s="137">
        <f t="shared" si="168"/>
        <v>0</v>
      </c>
      <c r="J139" s="137">
        <f t="shared" si="169"/>
        <v>0</v>
      </c>
      <c r="K139" s="112">
        <f t="shared" si="170"/>
        <v>0</v>
      </c>
      <c r="L139" s="112">
        <v>0</v>
      </c>
      <c r="M139" s="112">
        <f t="shared" si="171"/>
        <v>0</v>
      </c>
      <c r="N139" s="113" t="s">
        <v>585</v>
      </c>
      <c r="O139" s="15"/>
      <c r="Z139" s="41">
        <f t="shared" si="172"/>
        <v>0</v>
      </c>
      <c r="AB139" s="41">
        <f t="shared" si="173"/>
        <v>0</v>
      </c>
      <c r="AC139" s="41">
        <f t="shared" si="174"/>
        <v>0</v>
      </c>
      <c r="AD139" s="41">
        <f t="shared" si="175"/>
        <v>0</v>
      </c>
      <c r="AE139" s="41">
        <f t="shared" si="176"/>
        <v>0</v>
      </c>
      <c r="AF139" s="41">
        <f t="shared" si="177"/>
        <v>0</v>
      </c>
      <c r="AG139" s="41">
        <f t="shared" si="178"/>
        <v>0</v>
      </c>
      <c r="AH139" s="41">
        <f t="shared" si="179"/>
        <v>0</v>
      </c>
      <c r="AI139" s="59"/>
      <c r="AJ139" s="54">
        <f t="shared" si="180"/>
        <v>0</v>
      </c>
      <c r="AK139" s="54">
        <f t="shared" si="181"/>
        <v>0</v>
      </c>
      <c r="AL139" s="54">
        <f t="shared" si="182"/>
        <v>0</v>
      </c>
      <c r="AN139" s="41">
        <v>21</v>
      </c>
      <c r="AO139" s="41">
        <f t="shared" si="183"/>
        <v>0</v>
      </c>
      <c r="AP139" s="41">
        <f t="shared" si="184"/>
        <v>0</v>
      </c>
      <c r="AQ139" s="64" t="s">
        <v>135</v>
      </c>
      <c r="AV139" s="41">
        <f t="shared" si="185"/>
        <v>0</v>
      </c>
      <c r="AW139" s="41">
        <f t="shared" si="186"/>
        <v>0</v>
      </c>
      <c r="AX139" s="41">
        <f t="shared" si="187"/>
        <v>0</v>
      </c>
      <c r="AY139" s="66" t="s">
        <v>503</v>
      </c>
      <c r="AZ139" s="66" t="s">
        <v>511</v>
      </c>
      <c r="BA139" s="59" t="s">
        <v>512</v>
      </c>
      <c r="BC139" s="41">
        <f t="shared" si="188"/>
        <v>0</v>
      </c>
      <c r="BD139" s="41">
        <f t="shared" si="189"/>
        <v>0</v>
      </c>
      <c r="BE139" s="41">
        <v>0</v>
      </c>
      <c r="BF139" s="41">
        <f t="shared" si="190"/>
        <v>0</v>
      </c>
      <c r="BH139" s="54">
        <f t="shared" si="191"/>
        <v>0</v>
      </c>
      <c r="BI139" s="54">
        <f t="shared" si="192"/>
        <v>0</v>
      </c>
      <c r="BJ139" s="54">
        <f t="shared" si="193"/>
        <v>0</v>
      </c>
      <c r="BK139" s="54" t="s">
        <v>517</v>
      </c>
      <c r="BL139" s="41" t="s">
        <v>95</v>
      </c>
    </row>
    <row r="140" spans="1:64" ht="30" customHeight="1">
      <c r="A140" s="110" t="s">
        <v>228</v>
      </c>
      <c r="B140" s="130"/>
      <c r="C140" s="130" t="s">
        <v>337</v>
      </c>
      <c r="D140" s="261" t="s">
        <v>450</v>
      </c>
      <c r="E140" s="262"/>
      <c r="F140" s="111" t="s">
        <v>463</v>
      </c>
      <c r="G140" s="112">
        <v>13.5</v>
      </c>
      <c r="H140" s="134">
        <v>0</v>
      </c>
      <c r="I140" s="137">
        <f t="shared" si="168"/>
        <v>0</v>
      </c>
      <c r="J140" s="137">
        <f t="shared" si="169"/>
        <v>0</v>
      </c>
      <c r="K140" s="112">
        <f t="shared" si="170"/>
        <v>0</v>
      </c>
      <c r="L140" s="112">
        <v>0</v>
      </c>
      <c r="M140" s="112">
        <f t="shared" si="171"/>
        <v>0</v>
      </c>
      <c r="N140" s="113" t="s">
        <v>585</v>
      </c>
      <c r="O140" s="15"/>
      <c r="Z140" s="41">
        <f t="shared" si="172"/>
        <v>0</v>
      </c>
      <c r="AB140" s="41">
        <f t="shared" si="173"/>
        <v>0</v>
      </c>
      <c r="AC140" s="41">
        <f t="shared" si="174"/>
        <v>0</v>
      </c>
      <c r="AD140" s="41">
        <f t="shared" si="175"/>
        <v>0</v>
      </c>
      <c r="AE140" s="41">
        <f t="shared" si="176"/>
        <v>0</v>
      </c>
      <c r="AF140" s="41">
        <f t="shared" si="177"/>
        <v>0</v>
      </c>
      <c r="AG140" s="41">
        <f t="shared" si="178"/>
        <v>0</v>
      </c>
      <c r="AH140" s="41">
        <f t="shared" si="179"/>
        <v>0</v>
      </c>
      <c r="AI140" s="59"/>
      <c r="AJ140" s="54">
        <f t="shared" si="180"/>
        <v>0</v>
      </c>
      <c r="AK140" s="54">
        <f t="shared" si="181"/>
        <v>0</v>
      </c>
      <c r="AL140" s="54">
        <f t="shared" si="182"/>
        <v>0</v>
      </c>
      <c r="AN140" s="41">
        <v>21</v>
      </c>
      <c r="AO140" s="41">
        <f t="shared" si="183"/>
        <v>0</v>
      </c>
      <c r="AP140" s="41">
        <f t="shared" si="184"/>
        <v>0</v>
      </c>
      <c r="AQ140" s="64" t="s">
        <v>135</v>
      </c>
      <c r="AV140" s="41">
        <f t="shared" si="185"/>
        <v>0</v>
      </c>
      <c r="AW140" s="41">
        <f t="shared" si="186"/>
        <v>0</v>
      </c>
      <c r="AX140" s="41">
        <f t="shared" si="187"/>
        <v>0</v>
      </c>
      <c r="AY140" s="66" t="s">
        <v>503</v>
      </c>
      <c r="AZ140" s="66" t="s">
        <v>511</v>
      </c>
      <c r="BA140" s="59" t="s">
        <v>512</v>
      </c>
      <c r="BC140" s="41">
        <f t="shared" si="188"/>
        <v>0</v>
      </c>
      <c r="BD140" s="41">
        <f t="shared" si="189"/>
        <v>0</v>
      </c>
      <c r="BE140" s="41">
        <v>0</v>
      </c>
      <c r="BF140" s="41">
        <f t="shared" si="190"/>
        <v>0</v>
      </c>
      <c r="BH140" s="54">
        <f t="shared" si="191"/>
        <v>0</v>
      </c>
      <c r="BI140" s="54">
        <f t="shared" si="192"/>
        <v>0</v>
      </c>
      <c r="BJ140" s="54">
        <f t="shared" si="193"/>
        <v>0</v>
      </c>
      <c r="BK140" s="54" t="s">
        <v>517</v>
      </c>
      <c r="BL140" s="41" t="s">
        <v>95</v>
      </c>
    </row>
    <row r="141" spans="1:64" ht="30" customHeight="1">
      <c r="A141" s="110" t="s">
        <v>229</v>
      </c>
      <c r="B141" s="130"/>
      <c r="C141" s="130" t="s">
        <v>338</v>
      </c>
      <c r="D141" s="261" t="s">
        <v>451</v>
      </c>
      <c r="E141" s="262"/>
      <c r="F141" s="111" t="s">
        <v>463</v>
      </c>
      <c r="G141" s="112">
        <v>1</v>
      </c>
      <c r="H141" s="134">
        <v>0</v>
      </c>
      <c r="I141" s="137">
        <f t="shared" si="168"/>
        <v>0</v>
      </c>
      <c r="J141" s="137">
        <f t="shared" si="169"/>
        <v>0</v>
      </c>
      <c r="K141" s="112">
        <f t="shared" si="170"/>
        <v>0</v>
      </c>
      <c r="L141" s="112">
        <v>0</v>
      </c>
      <c r="M141" s="112">
        <f t="shared" si="171"/>
        <v>0</v>
      </c>
      <c r="N141" s="113" t="s">
        <v>585</v>
      </c>
      <c r="O141" s="15"/>
      <c r="Z141" s="41">
        <f t="shared" si="172"/>
        <v>0</v>
      </c>
      <c r="AB141" s="41">
        <f t="shared" si="173"/>
        <v>0</v>
      </c>
      <c r="AC141" s="41">
        <f t="shared" si="174"/>
        <v>0</v>
      </c>
      <c r="AD141" s="41">
        <f t="shared" si="175"/>
        <v>0</v>
      </c>
      <c r="AE141" s="41">
        <f t="shared" si="176"/>
        <v>0</v>
      </c>
      <c r="AF141" s="41">
        <f t="shared" si="177"/>
        <v>0</v>
      </c>
      <c r="AG141" s="41">
        <f t="shared" si="178"/>
        <v>0</v>
      </c>
      <c r="AH141" s="41">
        <f t="shared" si="179"/>
        <v>0</v>
      </c>
      <c r="AI141" s="59"/>
      <c r="AJ141" s="54">
        <f t="shared" si="180"/>
        <v>0</v>
      </c>
      <c r="AK141" s="54">
        <f t="shared" si="181"/>
        <v>0</v>
      </c>
      <c r="AL141" s="54">
        <f t="shared" si="182"/>
        <v>0</v>
      </c>
      <c r="AN141" s="41">
        <v>21</v>
      </c>
      <c r="AO141" s="41">
        <f t="shared" si="183"/>
        <v>0</v>
      </c>
      <c r="AP141" s="41">
        <f t="shared" si="184"/>
        <v>0</v>
      </c>
      <c r="AQ141" s="64" t="s">
        <v>135</v>
      </c>
      <c r="AV141" s="41">
        <f t="shared" si="185"/>
        <v>0</v>
      </c>
      <c r="AW141" s="41">
        <f t="shared" si="186"/>
        <v>0</v>
      </c>
      <c r="AX141" s="41">
        <f t="shared" si="187"/>
        <v>0</v>
      </c>
      <c r="AY141" s="66" t="s">
        <v>503</v>
      </c>
      <c r="AZ141" s="66" t="s">
        <v>511</v>
      </c>
      <c r="BA141" s="59" t="s">
        <v>512</v>
      </c>
      <c r="BC141" s="41">
        <f t="shared" si="188"/>
        <v>0</v>
      </c>
      <c r="BD141" s="41">
        <f t="shared" si="189"/>
        <v>0</v>
      </c>
      <c r="BE141" s="41">
        <v>0</v>
      </c>
      <c r="BF141" s="41">
        <f t="shared" si="190"/>
        <v>0</v>
      </c>
      <c r="BH141" s="54">
        <f t="shared" si="191"/>
        <v>0</v>
      </c>
      <c r="BI141" s="54">
        <f t="shared" si="192"/>
        <v>0</v>
      </c>
      <c r="BJ141" s="54">
        <f t="shared" si="193"/>
        <v>0</v>
      </c>
      <c r="BK141" s="54" t="s">
        <v>517</v>
      </c>
      <c r="BL141" s="41" t="s">
        <v>95</v>
      </c>
    </row>
    <row r="142" spans="1:64" ht="30" customHeight="1">
      <c r="A142" s="110" t="s">
        <v>230</v>
      </c>
      <c r="B142" s="130"/>
      <c r="C142" s="130" t="s">
        <v>339</v>
      </c>
      <c r="D142" s="261" t="s">
        <v>452</v>
      </c>
      <c r="E142" s="262"/>
      <c r="F142" s="111" t="s">
        <v>463</v>
      </c>
      <c r="G142" s="112">
        <v>1</v>
      </c>
      <c r="H142" s="134">
        <v>0</v>
      </c>
      <c r="I142" s="137">
        <f t="shared" si="168"/>
        <v>0</v>
      </c>
      <c r="J142" s="137">
        <f t="shared" si="169"/>
        <v>0</v>
      </c>
      <c r="K142" s="112">
        <f t="shared" si="170"/>
        <v>0</v>
      </c>
      <c r="L142" s="112">
        <v>0</v>
      </c>
      <c r="M142" s="112">
        <f t="shared" si="171"/>
        <v>0</v>
      </c>
      <c r="N142" s="113" t="s">
        <v>585</v>
      </c>
      <c r="O142" s="15"/>
      <c r="Z142" s="41">
        <f t="shared" si="172"/>
        <v>0</v>
      </c>
      <c r="AB142" s="41">
        <f t="shared" si="173"/>
        <v>0</v>
      </c>
      <c r="AC142" s="41">
        <f t="shared" si="174"/>
        <v>0</v>
      </c>
      <c r="AD142" s="41">
        <f t="shared" si="175"/>
        <v>0</v>
      </c>
      <c r="AE142" s="41">
        <f t="shared" si="176"/>
        <v>0</v>
      </c>
      <c r="AF142" s="41">
        <f t="shared" si="177"/>
        <v>0</v>
      </c>
      <c r="AG142" s="41">
        <f t="shared" si="178"/>
        <v>0</v>
      </c>
      <c r="AH142" s="41">
        <f t="shared" si="179"/>
        <v>0</v>
      </c>
      <c r="AI142" s="59"/>
      <c r="AJ142" s="54">
        <f t="shared" si="180"/>
        <v>0</v>
      </c>
      <c r="AK142" s="54">
        <f t="shared" si="181"/>
        <v>0</v>
      </c>
      <c r="AL142" s="54">
        <f t="shared" si="182"/>
        <v>0</v>
      </c>
      <c r="AN142" s="41">
        <v>21</v>
      </c>
      <c r="AO142" s="41">
        <f t="shared" si="183"/>
        <v>0</v>
      </c>
      <c r="AP142" s="41">
        <f t="shared" si="184"/>
        <v>0</v>
      </c>
      <c r="AQ142" s="64" t="s">
        <v>135</v>
      </c>
      <c r="AV142" s="41">
        <f t="shared" si="185"/>
        <v>0</v>
      </c>
      <c r="AW142" s="41">
        <f t="shared" si="186"/>
        <v>0</v>
      </c>
      <c r="AX142" s="41">
        <f t="shared" si="187"/>
        <v>0</v>
      </c>
      <c r="AY142" s="66" t="s">
        <v>503</v>
      </c>
      <c r="AZ142" s="66" t="s">
        <v>511</v>
      </c>
      <c r="BA142" s="59" t="s">
        <v>512</v>
      </c>
      <c r="BC142" s="41">
        <f t="shared" si="188"/>
        <v>0</v>
      </c>
      <c r="BD142" s="41">
        <f t="shared" si="189"/>
        <v>0</v>
      </c>
      <c r="BE142" s="41">
        <v>0</v>
      </c>
      <c r="BF142" s="41">
        <f t="shared" si="190"/>
        <v>0</v>
      </c>
      <c r="BH142" s="54">
        <f t="shared" si="191"/>
        <v>0</v>
      </c>
      <c r="BI142" s="54">
        <f t="shared" si="192"/>
        <v>0</v>
      </c>
      <c r="BJ142" s="54">
        <f t="shared" si="193"/>
        <v>0</v>
      </c>
      <c r="BK142" s="54" t="s">
        <v>517</v>
      </c>
      <c r="BL142" s="41" t="s">
        <v>95</v>
      </c>
    </row>
    <row r="143" spans="1:64" ht="30" customHeight="1">
      <c r="A143" s="110" t="s">
        <v>231</v>
      </c>
      <c r="B143" s="130"/>
      <c r="C143" s="130" t="s">
        <v>340</v>
      </c>
      <c r="D143" s="261" t="s">
        <v>453</v>
      </c>
      <c r="E143" s="262"/>
      <c r="F143" s="111" t="s">
        <v>463</v>
      </c>
      <c r="G143" s="112">
        <v>13.5</v>
      </c>
      <c r="H143" s="134">
        <v>0</v>
      </c>
      <c r="I143" s="137">
        <f t="shared" si="168"/>
        <v>0</v>
      </c>
      <c r="J143" s="137">
        <f t="shared" si="169"/>
        <v>0</v>
      </c>
      <c r="K143" s="112">
        <f t="shared" si="170"/>
        <v>0</v>
      </c>
      <c r="L143" s="112">
        <v>0</v>
      </c>
      <c r="M143" s="112">
        <f t="shared" si="171"/>
        <v>0</v>
      </c>
      <c r="N143" s="113" t="s">
        <v>585</v>
      </c>
      <c r="O143" s="15"/>
      <c r="Z143" s="41">
        <f t="shared" si="172"/>
        <v>0</v>
      </c>
      <c r="AB143" s="41">
        <f t="shared" si="173"/>
        <v>0</v>
      </c>
      <c r="AC143" s="41">
        <f t="shared" si="174"/>
        <v>0</v>
      </c>
      <c r="AD143" s="41">
        <f t="shared" si="175"/>
        <v>0</v>
      </c>
      <c r="AE143" s="41">
        <f t="shared" si="176"/>
        <v>0</v>
      </c>
      <c r="AF143" s="41">
        <f t="shared" si="177"/>
        <v>0</v>
      </c>
      <c r="AG143" s="41">
        <f t="shared" si="178"/>
        <v>0</v>
      </c>
      <c r="AH143" s="41">
        <f t="shared" si="179"/>
        <v>0</v>
      </c>
      <c r="AI143" s="59"/>
      <c r="AJ143" s="54">
        <f t="shared" si="180"/>
        <v>0</v>
      </c>
      <c r="AK143" s="54">
        <f t="shared" si="181"/>
        <v>0</v>
      </c>
      <c r="AL143" s="54">
        <f t="shared" si="182"/>
        <v>0</v>
      </c>
      <c r="AN143" s="41">
        <v>21</v>
      </c>
      <c r="AO143" s="41">
        <f t="shared" si="183"/>
        <v>0</v>
      </c>
      <c r="AP143" s="41">
        <f t="shared" si="184"/>
        <v>0</v>
      </c>
      <c r="AQ143" s="64" t="s">
        <v>135</v>
      </c>
      <c r="AV143" s="41">
        <f t="shared" si="185"/>
        <v>0</v>
      </c>
      <c r="AW143" s="41">
        <f t="shared" si="186"/>
        <v>0</v>
      </c>
      <c r="AX143" s="41">
        <f t="shared" si="187"/>
        <v>0</v>
      </c>
      <c r="AY143" s="66" t="s">
        <v>503</v>
      </c>
      <c r="AZ143" s="66" t="s">
        <v>511</v>
      </c>
      <c r="BA143" s="59" t="s">
        <v>512</v>
      </c>
      <c r="BC143" s="41">
        <f t="shared" si="188"/>
        <v>0</v>
      </c>
      <c r="BD143" s="41">
        <f t="shared" si="189"/>
        <v>0</v>
      </c>
      <c r="BE143" s="41">
        <v>0</v>
      </c>
      <c r="BF143" s="41">
        <f t="shared" si="190"/>
        <v>0</v>
      </c>
      <c r="BH143" s="54">
        <f t="shared" si="191"/>
        <v>0</v>
      </c>
      <c r="BI143" s="54">
        <f t="shared" si="192"/>
        <v>0</v>
      </c>
      <c r="BJ143" s="54">
        <f t="shared" si="193"/>
        <v>0</v>
      </c>
      <c r="BK143" s="54" t="s">
        <v>517</v>
      </c>
      <c r="BL143" s="41" t="s">
        <v>95</v>
      </c>
    </row>
    <row r="144" spans="1:64" ht="30" customHeight="1">
      <c r="A144" s="124" t="s">
        <v>57</v>
      </c>
      <c r="B144" s="133"/>
      <c r="C144" s="133" t="s">
        <v>341</v>
      </c>
      <c r="D144" s="267" t="s">
        <v>454</v>
      </c>
      <c r="E144" s="268"/>
      <c r="F144" s="125" t="s">
        <v>463</v>
      </c>
      <c r="G144" s="126">
        <v>13.5</v>
      </c>
      <c r="H144" s="136">
        <v>0</v>
      </c>
      <c r="I144" s="139">
        <f t="shared" si="168"/>
        <v>0</v>
      </c>
      <c r="J144" s="139">
        <f t="shared" si="169"/>
        <v>0</v>
      </c>
      <c r="K144" s="126">
        <f t="shared" si="170"/>
        <v>0</v>
      </c>
      <c r="L144" s="126">
        <v>0</v>
      </c>
      <c r="M144" s="126">
        <f t="shared" si="171"/>
        <v>0</v>
      </c>
      <c r="N144" s="113" t="s">
        <v>585</v>
      </c>
      <c r="O144" s="15"/>
      <c r="Z144" s="41">
        <f t="shared" si="172"/>
        <v>0</v>
      </c>
      <c r="AB144" s="41">
        <f t="shared" si="173"/>
        <v>0</v>
      </c>
      <c r="AC144" s="41">
        <f t="shared" si="174"/>
        <v>0</v>
      </c>
      <c r="AD144" s="41">
        <f t="shared" si="175"/>
        <v>0</v>
      </c>
      <c r="AE144" s="41">
        <f t="shared" si="176"/>
        <v>0</v>
      </c>
      <c r="AF144" s="41">
        <f t="shared" si="177"/>
        <v>0</v>
      </c>
      <c r="AG144" s="41">
        <f t="shared" si="178"/>
        <v>0</v>
      </c>
      <c r="AH144" s="41">
        <f t="shared" si="179"/>
        <v>0</v>
      </c>
      <c r="AI144" s="59"/>
      <c r="AJ144" s="54">
        <f t="shared" si="180"/>
        <v>0</v>
      </c>
      <c r="AK144" s="54">
        <f t="shared" si="181"/>
        <v>0</v>
      </c>
      <c r="AL144" s="54">
        <f t="shared" si="182"/>
        <v>0</v>
      </c>
      <c r="AN144" s="41">
        <v>21</v>
      </c>
      <c r="AO144" s="41">
        <f t="shared" si="183"/>
        <v>0</v>
      </c>
      <c r="AP144" s="41">
        <f t="shared" si="184"/>
        <v>0</v>
      </c>
      <c r="AQ144" s="64" t="s">
        <v>135</v>
      </c>
      <c r="AV144" s="41">
        <f t="shared" si="185"/>
        <v>0</v>
      </c>
      <c r="AW144" s="41">
        <f t="shared" si="186"/>
        <v>0</v>
      </c>
      <c r="AX144" s="41">
        <f t="shared" si="187"/>
        <v>0</v>
      </c>
      <c r="AY144" s="66" t="s">
        <v>503</v>
      </c>
      <c r="AZ144" s="66" t="s">
        <v>511</v>
      </c>
      <c r="BA144" s="59" t="s">
        <v>512</v>
      </c>
      <c r="BC144" s="41">
        <f t="shared" si="188"/>
        <v>0</v>
      </c>
      <c r="BD144" s="41">
        <f t="shared" si="189"/>
        <v>0</v>
      </c>
      <c r="BE144" s="41">
        <v>0</v>
      </c>
      <c r="BF144" s="41">
        <f t="shared" si="190"/>
        <v>0</v>
      </c>
      <c r="BH144" s="54">
        <f t="shared" si="191"/>
        <v>0</v>
      </c>
      <c r="BI144" s="54">
        <f t="shared" si="192"/>
        <v>0</v>
      </c>
      <c r="BJ144" s="54">
        <f t="shared" si="193"/>
        <v>0</v>
      </c>
      <c r="BK144" s="54" t="s">
        <v>517</v>
      </c>
      <c r="BL144" s="41" t="s">
        <v>95</v>
      </c>
    </row>
    <row r="145" spans="1:14" ht="15">
      <c r="A145" s="128"/>
      <c r="B145" s="128"/>
      <c r="C145" s="128"/>
      <c r="D145" s="128"/>
      <c r="E145" s="128"/>
      <c r="F145" s="128"/>
      <c r="G145" s="128"/>
      <c r="H145" s="128"/>
      <c r="I145" s="269" t="s">
        <v>124</v>
      </c>
      <c r="J145" s="270"/>
      <c r="K145" s="129">
        <f>K13+K16+K21+K23+K25+K28+K31+K36+K46+K53+K56+K66+K77+K85+K89+K95+K97+K99+K108+K114+K116+K133</f>
        <v>0</v>
      </c>
      <c r="L145" s="128"/>
      <c r="M145" s="128"/>
      <c r="N145" s="128"/>
    </row>
    <row r="146" ht="11.25" customHeight="1">
      <c r="A146" s="30" t="s">
        <v>18</v>
      </c>
    </row>
    <row r="147" spans="1:14" ht="12">
      <c r="A147" s="166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</row>
  </sheetData>
  <sheetProtection password="C168" sheet="1" objects="1" scenarios="1"/>
  <mergeCells count="164">
    <mergeCell ref="A147:N147"/>
    <mergeCell ref="D140:E140"/>
    <mergeCell ref="D141:E141"/>
    <mergeCell ref="D142:E142"/>
    <mergeCell ref="D143:E143"/>
    <mergeCell ref="D144:E144"/>
    <mergeCell ref="I145:J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zoomScalePageLayoutView="0" workbookViewId="0" topLeftCell="A1">
      <pane ySplit="10" topLeftCell="A143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8.8515625" style="0" customWidth="1"/>
    <col min="5" max="5" width="20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238" t="s">
        <v>520</v>
      </c>
      <c r="B1" s="239"/>
      <c r="C1" s="239"/>
      <c r="D1" s="239"/>
      <c r="E1" s="239"/>
      <c r="F1" s="239"/>
      <c r="G1" s="239"/>
      <c r="H1" s="239"/>
    </row>
    <row r="2" spans="1:9" ht="12">
      <c r="A2" s="240" t="s">
        <v>0</v>
      </c>
      <c r="B2" s="156"/>
      <c r="C2" s="159" t="str">
        <f>'Stavební rozpočet'!D2</f>
        <v>ZŠ RAKOVSKÉHO  rozšíření jídelny</v>
      </c>
      <c r="D2" s="160"/>
      <c r="E2" s="162" t="s">
        <v>32</v>
      </c>
      <c r="F2" s="162" t="str">
        <f>'Stavební rozpočet'!J2</f>
        <v> </v>
      </c>
      <c r="G2" s="156"/>
      <c r="H2" s="245"/>
      <c r="I2" s="15"/>
    </row>
    <row r="3" spans="1:9" ht="12">
      <c r="A3" s="241"/>
      <c r="B3" s="158"/>
      <c r="C3" s="161"/>
      <c r="D3" s="161"/>
      <c r="E3" s="158"/>
      <c r="F3" s="158"/>
      <c r="G3" s="158"/>
      <c r="H3" s="246"/>
      <c r="I3" s="15"/>
    </row>
    <row r="4" spans="1:9" ht="12">
      <c r="A4" s="247" t="s">
        <v>1</v>
      </c>
      <c r="B4" s="158"/>
      <c r="C4" s="166" t="str">
        <f>'Stavební rozpočet'!D4</f>
        <v>rekonstrukce a oprava</v>
      </c>
      <c r="D4" s="158"/>
      <c r="E4" s="166" t="s">
        <v>33</v>
      </c>
      <c r="F4" s="166" t="str">
        <f>'Stavební rozpočet'!J4</f>
        <v>MIKRO PRAHA spol. s.r.o.</v>
      </c>
      <c r="G4" s="158"/>
      <c r="H4" s="246"/>
      <c r="I4" s="15"/>
    </row>
    <row r="5" spans="1:9" ht="12">
      <c r="A5" s="241"/>
      <c r="B5" s="158"/>
      <c r="C5" s="158"/>
      <c r="D5" s="158"/>
      <c r="E5" s="158"/>
      <c r="F5" s="158"/>
      <c r="G5" s="158"/>
      <c r="H5" s="246"/>
      <c r="I5" s="15"/>
    </row>
    <row r="6" spans="1:9" ht="12">
      <c r="A6" s="247" t="s">
        <v>2</v>
      </c>
      <c r="B6" s="158"/>
      <c r="C6" s="166" t="str">
        <f>'Stavební rozpočet'!D6</f>
        <v>RAKOVSKÉHO 3136/1, PRAHA 12</v>
      </c>
      <c r="D6" s="158"/>
      <c r="E6" s="166" t="s">
        <v>34</v>
      </c>
      <c r="F6" s="166" t="str">
        <f>'Stavební rozpočet'!J6</f>
        <v> </v>
      </c>
      <c r="G6" s="158"/>
      <c r="H6" s="246"/>
      <c r="I6" s="15"/>
    </row>
    <row r="7" spans="1:9" ht="12">
      <c r="A7" s="241"/>
      <c r="B7" s="158"/>
      <c r="C7" s="158"/>
      <c r="D7" s="158"/>
      <c r="E7" s="158"/>
      <c r="F7" s="158"/>
      <c r="G7" s="158"/>
      <c r="H7" s="246"/>
      <c r="I7" s="15"/>
    </row>
    <row r="8" spans="1:9" ht="12">
      <c r="A8" s="247" t="s">
        <v>36</v>
      </c>
      <c r="B8" s="158"/>
      <c r="C8" s="166">
        <f>'Stavební rozpočet'!J8</f>
        <v>0</v>
      </c>
      <c r="D8" s="158"/>
      <c r="E8" s="166" t="s">
        <v>121</v>
      </c>
      <c r="F8" s="166" t="str">
        <f>'Stavební rozpočet'!H8</f>
        <v>0</v>
      </c>
      <c r="G8" s="158"/>
      <c r="H8" s="246"/>
      <c r="I8" s="15"/>
    </row>
    <row r="9" spans="1:9" ht="12">
      <c r="A9" s="250"/>
      <c r="B9" s="223"/>
      <c r="C9" s="223"/>
      <c r="D9" s="223"/>
      <c r="E9" s="223"/>
      <c r="F9" s="223"/>
      <c r="G9" s="223"/>
      <c r="H9" s="271"/>
      <c r="I9" s="15"/>
    </row>
    <row r="10" spans="1:9" ht="12.75">
      <c r="A10" s="70" t="s">
        <v>130</v>
      </c>
      <c r="B10" s="71" t="s">
        <v>72</v>
      </c>
      <c r="C10" s="71" t="s">
        <v>73</v>
      </c>
      <c r="D10" s="272" t="s">
        <v>96</v>
      </c>
      <c r="E10" s="273"/>
      <c r="F10" s="71" t="s">
        <v>455</v>
      </c>
      <c r="G10" s="72" t="s">
        <v>465</v>
      </c>
      <c r="H10" s="73" t="s">
        <v>584</v>
      </c>
      <c r="I10" s="16"/>
    </row>
    <row r="11" spans="1:9" ht="19.5" customHeight="1">
      <c r="A11" s="140"/>
      <c r="B11" s="141"/>
      <c r="C11" s="141" t="s">
        <v>74</v>
      </c>
      <c r="D11" s="274" t="s">
        <v>98</v>
      </c>
      <c r="E11" s="275"/>
      <c r="F11" s="141"/>
      <c r="G11" s="142"/>
      <c r="H11" s="143"/>
      <c r="I11" s="15"/>
    </row>
    <row r="12" spans="1:9" ht="19.5" customHeight="1">
      <c r="A12" s="110" t="s">
        <v>131</v>
      </c>
      <c r="B12" s="111"/>
      <c r="C12" s="111" t="s">
        <v>232</v>
      </c>
      <c r="D12" s="276" t="s">
        <v>345</v>
      </c>
      <c r="E12" s="277"/>
      <c r="F12" s="111" t="s">
        <v>456</v>
      </c>
      <c r="G12" s="112">
        <v>28.32</v>
      </c>
      <c r="H12" s="144">
        <v>0</v>
      </c>
      <c r="I12" s="15"/>
    </row>
    <row r="13" spans="1:9" ht="19.5" customHeight="1">
      <c r="A13" s="110"/>
      <c r="B13" s="111"/>
      <c r="C13" s="111"/>
      <c r="D13" s="145" t="s">
        <v>521</v>
      </c>
      <c r="E13" s="278"/>
      <c r="F13" s="278"/>
      <c r="G13" s="146">
        <v>28.32</v>
      </c>
      <c r="H13" s="113"/>
      <c r="I13" s="15"/>
    </row>
    <row r="14" spans="1:9" ht="19.5" customHeight="1">
      <c r="A14" s="110" t="s">
        <v>132</v>
      </c>
      <c r="B14" s="111"/>
      <c r="C14" s="111" t="s">
        <v>233</v>
      </c>
      <c r="D14" s="276" t="s">
        <v>346</v>
      </c>
      <c r="E14" s="277"/>
      <c r="F14" s="111" t="s">
        <v>456</v>
      </c>
      <c r="G14" s="112">
        <v>2.405</v>
      </c>
      <c r="H14" s="144">
        <v>0</v>
      </c>
      <c r="I14" s="15"/>
    </row>
    <row r="15" spans="1:9" ht="19.5" customHeight="1">
      <c r="A15" s="110"/>
      <c r="B15" s="111"/>
      <c r="C15" s="111"/>
      <c r="D15" s="145" t="s">
        <v>522</v>
      </c>
      <c r="E15" s="278"/>
      <c r="F15" s="278"/>
      <c r="G15" s="146">
        <v>2.405</v>
      </c>
      <c r="H15" s="113"/>
      <c r="I15" s="15"/>
    </row>
    <row r="16" spans="1:9" ht="19.5" customHeight="1">
      <c r="A16" s="147"/>
      <c r="B16" s="115"/>
      <c r="C16" s="115" t="s">
        <v>75</v>
      </c>
      <c r="D16" s="279" t="s">
        <v>99</v>
      </c>
      <c r="E16" s="280"/>
      <c r="F16" s="115"/>
      <c r="G16" s="118"/>
      <c r="H16" s="119"/>
      <c r="I16" s="15"/>
    </row>
    <row r="17" spans="1:9" ht="19.5" customHeight="1">
      <c r="A17" s="110" t="s">
        <v>133</v>
      </c>
      <c r="B17" s="111"/>
      <c r="C17" s="111" t="s">
        <v>234</v>
      </c>
      <c r="D17" s="276" t="s">
        <v>347</v>
      </c>
      <c r="E17" s="277"/>
      <c r="F17" s="111" t="s">
        <v>456</v>
      </c>
      <c r="G17" s="112">
        <v>61.34</v>
      </c>
      <c r="H17" s="144">
        <v>0</v>
      </c>
      <c r="I17" s="15"/>
    </row>
    <row r="18" spans="1:9" ht="19.5" customHeight="1">
      <c r="A18" s="110"/>
      <c r="B18" s="111"/>
      <c r="C18" s="111"/>
      <c r="D18" s="145" t="s">
        <v>523</v>
      </c>
      <c r="E18" s="278" t="s">
        <v>571</v>
      </c>
      <c r="F18" s="278"/>
      <c r="G18" s="146">
        <v>37.84</v>
      </c>
      <c r="H18" s="113"/>
      <c r="I18" s="15"/>
    </row>
    <row r="19" spans="1:9" ht="19.5" customHeight="1">
      <c r="A19" s="110"/>
      <c r="B19" s="111"/>
      <c r="C19" s="111"/>
      <c r="D19" s="145" t="s">
        <v>524</v>
      </c>
      <c r="E19" s="278" t="s">
        <v>572</v>
      </c>
      <c r="F19" s="278"/>
      <c r="G19" s="146">
        <v>13.5</v>
      </c>
      <c r="H19" s="113"/>
      <c r="I19" s="15"/>
    </row>
    <row r="20" spans="1:9" ht="19.5" customHeight="1">
      <c r="A20" s="110"/>
      <c r="B20" s="111"/>
      <c r="C20" s="111"/>
      <c r="D20" s="145" t="s">
        <v>140</v>
      </c>
      <c r="E20" s="278" t="s">
        <v>573</v>
      </c>
      <c r="F20" s="278"/>
      <c r="G20" s="146">
        <v>10</v>
      </c>
      <c r="H20" s="113"/>
      <c r="I20" s="15"/>
    </row>
    <row r="21" spans="1:9" ht="19.5" customHeight="1">
      <c r="A21" s="110" t="s">
        <v>134</v>
      </c>
      <c r="B21" s="111"/>
      <c r="C21" s="111" t="s">
        <v>235</v>
      </c>
      <c r="D21" s="276" t="s">
        <v>348</v>
      </c>
      <c r="E21" s="277"/>
      <c r="F21" s="111" t="s">
        <v>457</v>
      </c>
      <c r="G21" s="112">
        <v>18</v>
      </c>
      <c r="H21" s="144">
        <v>0</v>
      </c>
      <c r="I21" s="15"/>
    </row>
    <row r="22" spans="1:9" ht="19.5" customHeight="1">
      <c r="A22" s="110"/>
      <c r="B22" s="111"/>
      <c r="C22" s="111"/>
      <c r="D22" s="145" t="s">
        <v>525</v>
      </c>
      <c r="E22" s="278"/>
      <c r="F22" s="278"/>
      <c r="G22" s="146">
        <v>18</v>
      </c>
      <c r="H22" s="113"/>
      <c r="I22" s="15"/>
    </row>
    <row r="23" spans="1:9" ht="19.5" customHeight="1">
      <c r="A23" s="110" t="s">
        <v>135</v>
      </c>
      <c r="B23" s="111"/>
      <c r="C23" s="111" t="s">
        <v>236</v>
      </c>
      <c r="D23" s="276" t="s">
        <v>349</v>
      </c>
      <c r="E23" s="277"/>
      <c r="F23" s="111" t="s">
        <v>457</v>
      </c>
      <c r="G23" s="112">
        <v>32</v>
      </c>
      <c r="H23" s="144">
        <v>0</v>
      </c>
      <c r="I23" s="15"/>
    </row>
    <row r="24" spans="1:9" ht="19.5" customHeight="1">
      <c r="A24" s="110"/>
      <c r="B24" s="111"/>
      <c r="C24" s="111"/>
      <c r="D24" s="145" t="s">
        <v>526</v>
      </c>
      <c r="E24" s="278"/>
      <c r="F24" s="278"/>
      <c r="G24" s="146">
        <v>32</v>
      </c>
      <c r="H24" s="113"/>
      <c r="I24" s="15"/>
    </row>
    <row r="25" spans="1:9" ht="19.5" customHeight="1">
      <c r="A25" s="147"/>
      <c r="B25" s="115"/>
      <c r="C25" s="115" t="s">
        <v>76</v>
      </c>
      <c r="D25" s="279" t="s">
        <v>100</v>
      </c>
      <c r="E25" s="280"/>
      <c r="F25" s="115"/>
      <c r="G25" s="118"/>
      <c r="H25" s="119"/>
      <c r="I25" s="15"/>
    </row>
    <row r="26" spans="1:9" ht="19.5" customHeight="1">
      <c r="A26" s="110" t="s">
        <v>136</v>
      </c>
      <c r="B26" s="111"/>
      <c r="C26" s="111" t="s">
        <v>238</v>
      </c>
      <c r="D26" s="276" t="s">
        <v>351</v>
      </c>
      <c r="E26" s="277"/>
      <c r="F26" s="111" t="s">
        <v>456</v>
      </c>
      <c r="G26" s="112">
        <v>45.2</v>
      </c>
      <c r="H26" s="144">
        <v>0</v>
      </c>
      <c r="I26" s="15"/>
    </row>
    <row r="27" spans="1:9" ht="19.5" customHeight="1">
      <c r="A27" s="110"/>
      <c r="B27" s="111"/>
      <c r="C27" s="111"/>
      <c r="D27" s="145" t="s">
        <v>527</v>
      </c>
      <c r="E27" s="278"/>
      <c r="F27" s="278"/>
      <c r="G27" s="146">
        <v>35.2</v>
      </c>
      <c r="H27" s="113"/>
      <c r="I27" s="15"/>
    </row>
    <row r="28" spans="1:9" ht="19.5" customHeight="1">
      <c r="A28" s="110"/>
      <c r="B28" s="111"/>
      <c r="C28" s="111"/>
      <c r="D28" s="145" t="s">
        <v>140</v>
      </c>
      <c r="E28" s="278"/>
      <c r="F28" s="278"/>
      <c r="G28" s="146">
        <v>10</v>
      </c>
      <c r="H28" s="113"/>
      <c r="I28" s="15"/>
    </row>
    <row r="29" spans="1:9" ht="19.5" customHeight="1">
      <c r="A29" s="147"/>
      <c r="B29" s="115"/>
      <c r="C29" s="115" t="s">
        <v>77</v>
      </c>
      <c r="D29" s="279" t="s">
        <v>101</v>
      </c>
      <c r="E29" s="280"/>
      <c r="F29" s="115"/>
      <c r="G29" s="118"/>
      <c r="H29" s="119"/>
      <c r="I29" s="15"/>
    </row>
    <row r="30" spans="1:9" ht="19.5" customHeight="1">
      <c r="A30" s="110" t="s">
        <v>137</v>
      </c>
      <c r="B30" s="111"/>
      <c r="C30" s="111" t="s">
        <v>239</v>
      </c>
      <c r="D30" s="276" t="s">
        <v>352</v>
      </c>
      <c r="E30" s="277"/>
      <c r="F30" s="111" t="s">
        <v>456</v>
      </c>
      <c r="G30" s="112">
        <v>37.17</v>
      </c>
      <c r="H30" s="144">
        <v>0</v>
      </c>
      <c r="I30" s="15"/>
    </row>
    <row r="31" spans="1:9" ht="19.5" customHeight="1">
      <c r="A31" s="110"/>
      <c r="B31" s="111"/>
      <c r="C31" s="111"/>
      <c r="D31" s="145" t="s">
        <v>528</v>
      </c>
      <c r="E31" s="278"/>
      <c r="F31" s="278"/>
      <c r="G31" s="146">
        <v>37.17</v>
      </c>
      <c r="H31" s="113"/>
      <c r="I31" s="15"/>
    </row>
    <row r="32" spans="1:9" ht="19.5" customHeight="1">
      <c r="A32" s="147"/>
      <c r="B32" s="115"/>
      <c r="C32" s="115" t="s">
        <v>78</v>
      </c>
      <c r="D32" s="279" t="s">
        <v>102</v>
      </c>
      <c r="E32" s="280"/>
      <c r="F32" s="115"/>
      <c r="G32" s="118"/>
      <c r="H32" s="119"/>
      <c r="I32" s="15"/>
    </row>
    <row r="33" spans="1:9" ht="19.5" customHeight="1">
      <c r="A33" s="110" t="s">
        <v>138</v>
      </c>
      <c r="B33" s="111"/>
      <c r="C33" s="111" t="s">
        <v>241</v>
      </c>
      <c r="D33" s="276" t="s">
        <v>354</v>
      </c>
      <c r="E33" s="277"/>
      <c r="F33" s="111" t="s">
        <v>458</v>
      </c>
      <c r="G33" s="112">
        <v>1</v>
      </c>
      <c r="H33" s="144">
        <v>0</v>
      </c>
      <c r="I33" s="15"/>
    </row>
    <row r="34" spans="1:9" ht="19.5" customHeight="1">
      <c r="A34" s="110"/>
      <c r="B34" s="111"/>
      <c r="C34" s="111"/>
      <c r="D34" s="145" t="s">
        <v>131</v>
      </c>
      <c r="E34" s="278"/>
      <c r="F34" s="278"/>
      <c r="G34" s="146">
        <v>1</v>
      </c>
      <c r="H34" s="113"/>
      <c r="I34" s="15"/>
    </row>
    <row r="35" spans="1:9" ht="19.5" customHeight="1">
      <c r="A35" s="147"/>
      <c r="B35" s="115"/>
      <c r="C35" s="115" t="s">
        <v>79</v>
      </c>
      <c r="D35" s="279" t="s">
        <v>103</v>
      </c>
      <c r="E35" s="280"/>
      <c r="F35" s="115"/>
      <c r="G35" s="118"/>
      <c r="H35" s="119"/>
      <c r="I35" s="15"/>
    </row>
    <row r="36" spans="1:9" ht="19.5" customHeight="1">
      <c r="A36" s="110" t="s">
        <v>139</v>
      </c>
      <c r="B36" s="111"/>
      <c r="C36" s="111" t="s">
        <v>243</v>
      </c>
      <c r="D36" s="276" t="s">
        <v>356</v>
      </c>
      <c r="E36" s="277"/>
      <c r="F36" s="111"/>
      <c r="G36" s="112">
        <v>39.9</v>
      </c>
      <c r="H36" s="144">
        <v>0</v>
      </c>
      <c r="I36" s="15"/>
    </row>
    <row r="37" spans="1:9" ht="19.5" customHeight="1">
      <c r="A37" s="110"/>
      <c r="B37" s="111"/>
      <c r="C37" s="111"/>
      <c r="D37" s="145" t="s">
        <v>529</v>
      </c>
      <c r="E37" s="278"/>
      <c r="F37" s="278"/>
      <c r="G37" s="146">
        <v>39.9</v>
      </c>
      <c r="H37" s="113"/>
      <c r="I37" s="15"/>
    </row>
    <row r="38" spans="1:9" ht="19.5" customHeight="1">
      <c r="A38" s="147"/>
      <c r="B38" s="115"/>
      <c r="C38" s="115" t="s">
        <v>80</v>
      </c>
      <c r="D38" s="279" t="s">
        <v>104</v>
      </c>
      <c r="E38" s="280"/>
      <c r="F38" s="115"/>
      <c r="G38" s="118"/>
      <c r="H38" s="119"/>
      <c r="I38" s="15"/>
    </row>
    <row r="39" spans="1:9" ht="19.5" customHeight="1">
      <c r="A39" s="110" t="s">
        <v>140</v>
      </c>
      <c r="B39" s="111"/>
      <c r="C39" s="111" t="s">
        <v>244</v>
      </c>
      <c r="D39" s="276" t="s">
        <v>357</v>
      </c>
      <c r="E39" s="277"/>
      <c r="F39" s="111" t="s">
        <v>457</v>
      </c>
      <c r="G39" s="112">
        <v>10</v>
      </c>
      <c r="H39" s="144">
        <v>0</v>
      </c>
      <c r="I39" s="15"/>
    </row>
    <row r="40" spans="1:9" ht="19.5" customHeight="1">
      <c r="A40" s="110"/>
      <c r="B40" s="111"/>
      <c r="C40" s="111"/>
      <c r="D40" s="145" t="s">
        <v>140</v>
      </c>
      <c r="E40" s="278"/>
      <c r="F40" s="278"/>
      <c r="G40" s="146">
        <v>10</v>
      </c>
      <c r="H40" s="113"/>
      <c r="I40" s="15"/>
    </row>
    <row r="41" spans="1:9" ht="19.5" customHeight="1">
      <c r="A41" s="110" t="s">
        <v>141</v>
      </c>
      <c r="B41" s="111"/>
      <c r="C41" s="111" t="s">
        <v>245</v>
      </c>
      <c r="D41" s="276" t="s">
        <v>358</v>
      </c>
      <c r="E41" s="277"/>
      <c r="F41" s="111" t="s">
        <v>458</v>
      </c>
      <c r="G41" s="112">
        <v>5</v>
      </c>
      <c r="H41" s="144">
        <v>0</v>
      </c>
      <c r="I41" s="15"/>
    </row>
    <row r="42" spans="1:9" ht="19.5" customHeight="1">
      <c r="A42" s="110"/>
      <c r="B42" s="111"/>
      <c r="C42" s="111"/>
      <c r="D42" s="145" t="s">
        <v>530</v>
      </c>
      <c r="E42" s="278"/>
      <c r="F42" s="278"/>
      <c r="G42" s="146">
        <v>5</v>
      </c>
      <c r="H42" s="113"/>
      <c r="I42" s="15"/>
    </row>
    <row r="43" spans="1:9" ht="19.5" customHeight="1">
      <c r="A43" s="110" t="s">
        <v>142</v>
      </c>
      <c r="B43" s="111"/>
      <c r="C43" s="111" t="s">
        <v>246</v>
      </c>
      <c r="D43" s="276" t="s">
        <v>359</v>
      </c>
      <c r="E43" s="277"/>
      <c r="F43" s="111" t="s">
        <v>457</v>
      </c>
      <c r="G43" s="112">
        <v>8</v>
      </c>
      <c r="H43" s="144">
        <v>0</v>
      </c>
      <c r="I43" s="15"/>
    </row>
    <row r="44" spans="1:9" ht="19.5" customHeight="1">
      <c r="A44" s="110"/>
      <c r="B44" s="111"/>
      <c r="C44" s="111"/>
      <c r="D44" s="145" t="s">
        <v>138</v>
      </c>
      <c r="E44" s="278"/>
      <c r="F44" s="278"/>
      <c r="G44" s="146">
        <v>8</v>
      </c>
      <c r="H44" s="113"/>
      <c r="I44" s="15"/>
    </row>
    <row r="45" spans="1:9" ht="19.5" customHeight="1">
      <c r="A45" s="110" t="s">
        <v>143</v>
      </c>
      <c r="B45" s="111"/>
      <c r="C45" s="111" t="s">
        <v>247</v>
      </c>
      <c r="D45" s="276" t="s">
        <v>360</v>
      </c>
      <c r="E45" s="277"/>
      <c r="F45" s="111" t="s">
        <v>457</v>
      </c>
      <c r="G45" s="112">
        <v>8</v>
      </c>
      <c r="H45" s="144">
        <v>0</v>
      </c>
      <c r="I45" s="15"/>
    </row>
    <row r="46" spans="1:9" ht="19.5" customHeight="1">
      <c r="A46" s="110"/>
      <c r="B46" s="111"/>
      <c r="C46" s="111"/>
      <c r="D46" s="145" t="s">
        <v>138</v>
      </c>
      <c r="E46" s="278"/>
      <c r="F46" s="278"/>
      <c r="G46" s="146">
        <v>8</v>
      </c>
      <c r="H46" s="113"/>
      <c r="I46" s="15"/>
    </row>
    <row r="47" spans="1:9" ht="19.5" customHeight="1">
      <c r="A47" s="147"/>
      <c r="B47" s="115"/>
      <c r="C47" s="115" t="s">
        <v>81</v>
      </c>
      <c r="D47" s="279" t="s">
        <v>105</v>
      </c>
      <c r="E47" s="280"/>
      <c r="F47" s="115"/>
      <c r="G47" s="118"/>
      <c r="H47" s="119"/>
      <c r="I47" s="15"/>
    </row>
    <row r="48" spans="1:9" ht="19.5" customHeight="1">
      <c r="A48" s="110" t="s">
        <v>144</v>
      </c>
      <c r="B48" s="111"/>
      <c r="C48" s="111" t="s">
        <v>248</v>
      </c>
      <c r="D48" s="276" t="s">
        <v>361</v>
      </c>
      <c r="E48" s="277"/>
      <c r="F48" s="111" t="s">
        <v>457</v>
      </c>
      <c r="G48" s="112">
        <v>10</v>
      </c>
      <c r="H48" s="144">
        <v>0</v>
      </c>
      <c r="I48" s="15"/>
    </row>
    <row r="49" spans="1:9" ht="19.5" customHeight="1">
      <c r="A49" s="110"/>
      <c r="B49" s="111"/>
      <c r="C49" s="111"/>
      <c r="D49" s="145" t="s">
        <v>140</v>
      </c>
      <c r="E49" s="278"/>
      <c r="F49" s="278"/>
      <c r="G49" s="146">
        <v>10</v>
      </c>
      <c r="H49" s="113"/>
      <c r="I49" s="15"/>
    </row>
    <row r="50" spans="1:9" ht="19.5" customHeight="1">
      <c r="A50" s="110" t="s">
        <v>145</v>
      </c>
      <c r="B50" s="111"/>
      <c r="C50" s="111" t="s">
        <v>249</v>
      </c>
      <c r="D50" s="276" t="s">
        <v>362</v>
      </c>
      <c r="E50" s="277"/>
      <c r="F50" s="111" t="s">
        <v>457</v>
      </c>
      <c r="G50" s="112">
        <v>17</v>
      </c>
      <c r="H50" s="144">
        <v>0</v>
      </c>
      <c r="I50" s="15"/>
    </row>
    <row r="51" spans="1:9" ht="19.5" customHeight="1">
      <c r="A51" s="110"/>
      <c r="B51" s="111"/>
      <c r="C51" s="111"/>
      <c r="D51" s="145" t="s">
        <v>531</v>
      </c>
      <c r="E51" s="278"/>
      <c r="F51" s="278"/>
      <c r="G51" s="146">
        <v>16</v>
      </c>
      <c r="H51" s="113"/>
      <c r="I51" s="15"/>
    </row>
    <row r="52" spans="1:9" ht="19.5" customHeight="1">
      <c r="A52" s="110"/>
      <c r="B52" s="111"/>
      <c r="C52" s="111"/>
      <c r="D52" s="145" t="s">
        <v>131</v>
      </c>
      <c r="E52" s="278"/>
      <c r="F52" s="278"/>
      <c r="G52" s="146">
        <v>1</v>
      </c>
      <c r="H52" s="113"/>
      <c r="I52" s="15"/>
    </row>
    <row r="53" spans="1:9" ht="19.5" customHeight="1">
      <c r="A53" s="110" t="s">
        <v>146</v>
      </c>
      <c r="B53" s="111"/>
      <c r="C53" s="111" t="s">
        <v>250</v>
      </c>
      <c r="D53" s="276" t="s">
        <v>363</v>
      </c>
      <c r="E53" s="277"/>
      <c r="F53" s="111" t="s">
        <v>457</v>
      </c>
      <c r="G53" s="112">
        <v>17</v>
      </c>
      <c r="H53" s="144">
        <v>0</v>
      </c>
      <c r="I53" s="15"/>
    </row>
    <row r="54" spans="1:9" ht="19.5" customHeight="1">
      <c r="A54" s="110"/>
      <c r="B54" s="111"/>
      <c r="C54" s="111"/>
      <c r="D54" s="145" t="s">
        <v>531</v>
      </c>
      <c r="E54" s="278"/>
      <c r="F54" s="278"/>
      <c r="G54" s="146">
        <v>16</v>
      </c>
      <c r="H54" s="113"/>
      <c r="I54" s="15"/>
    </row>
    <row r="55" spans="1:9" ht="19.5" customHeight="1">
      <c r="A55" s="110"/>
      <c r="B55" s="111"/>
      <c r="C55" s="111"/>
      <c r="D55" s="145" t="s">
        <v>131</v>
      </c>
      <c r="E55" s="278"/>
      <c r="F55" s="278"/>
      <c r="G55" s="146">
        <v>1</v>
      </c>
      <c r="H55" s="113"/>
      <c r="I55" s="15"/>
    </row>
    <row r="56" spans="1:9" ht="19.5" customHeight="1">
      <c r="A56" s="110" t="s">
        <v>147</v>
      </c>
      <c r="B56" s="111"/>
      <c r="C56" s="111" t="s">
        <v>251</v>
      </c>
      <c r="D56" s="276" t="s">
        <v>364</v>
      </c>
      <c r="E56" s="277"/>
      <c r="F56" s="111" t="s">
        <v>457</v>
      </c>
      <c r="G56" s="112">
        <v>17</v>
      </c>
      <c r="H56" s="144">
        <v>0</v>
      </c>
      <c r="I56" s="15"/>
    </row>
    <row r="57" spans="1:9" ht="19.5" customHeight="1">
      <c r="A57" s="110"/>
      <c r="B57" s="111"/>
      <c r="C57" s="111"/>
      <c r="D57" s="145" t="s">
        <v>531</v>
      </c>
      <c r="E57" s="278"/>
      <c r="F57" s="278"/>
      <c r="G57" s="146">
        <v>16</v>
      </c>
      <c r="H57" s="113"/>
      <c r="I57" s="15"/>
    </row>
    <row r="58" spans="1:9" ht="19.5" customHeight="1">
      <c r="A58" s="110"/>
      <c r="B58" s="111"/>
      <c r="C58" s="111"/>
      <c r="D58" s="145" t="s">
        <v>131</v>
      </c>
      <c r="E58" s="278"/>
      <c r="F58" s="278"/>
      <c r="G58" s="146">
        <v>1</v>
      </c>
      <c r="H58" s="113"/>
      <c r="I58" s="15"/>
    </row>
    <row r="59" spans="1:9" ht="19.5" customHeight="1">
      <c r="A59" s="110" t="s">
        <v>148</v>
      </c>
      <c r="B59" s="111"/>
      <c r="C59" s="111" t="s">
        <v>252</v>
      </c>
      <c r="D59" s="276" t="s">
        <v>365</v>
      </c>
      <c r="E59" s="277"/>
      <c r="F59" s="111" t="s">
        <v>459</v>
      </c>
      <c r="G59" s="112">
        <v>5</v>
      </c>
      <c r="H59" s="144">
        <v>0</v>
      </c>
      <c r="I59" s="15"/>
    </row>
    <row r="60" spans="1:9" ht="19.5" customHeight="1">
      <c r="A60" s="110"/>
      <c r="B60" s="111"/>
      <c r="C60" s="111"/>
      <c r="D60" s="145" t="s">
        <v>135</v>
      </c>
      <c r="E60" s="278"/>
      <c r="F60" s="278"/>
      <c r="G60" s="146">
        <v>5</v>
      </c>
      <c r="H60" s="113"/>
      <c r="I60" s="15"/>
    </row>
    <row r="61" spans="1:9" ht="19.5" customHeight="1">
      <c r="A61" s="110" t="s">
        <v>149</v>
      </c>
      <c r="B61" s="111"/>
      <c r="C61" s="111" t="s">
        <v>253</v>
      </c>
      <c r="D61" s="276" t="s">
        <v>366</v>
      </c>
      <c r="E61" s="277"/>
      <c r="F61" s="111" t="s">
        <v>457</v>
      </c>
      <c r="G61" s="112">
        <v>17</v>
      </c>
      <c r="H61" s="144">
        <v>0</v>
      </c>
      <c r="I61" s="15"/>
    </row>
    <row r="62" spans="1:9" ht="19.5" customHeight="1">
      <c r="A62" s="110"/>
      <c r="B62" s="111"/>
      <c r="C62" s="111"/>
      <c r="D62" s="145" t="s">
        <v>147</v>
      </c>
      <c r="E62" s="278"/>
      <c r="F62" s="278"/>
      <c r="G62" s="146">
        <v>17</v>
      </c>
      <c r="H62" s="113"/>
      <c r="I62" s="15"/>
    </row>
    <row r="63" spans="1:9" ht="19.5" customHeight="1">
      <c r="A63" s="110"/>
      <c r="B63" s="111"/>
      <c r="C63" s="111"/>
      <c r="D63" s="145" t="s">
        <v>532</v>
      </c>
      <c r="E63" s="278"/>
      <c r="F63" s="278"/>
      <c r="G63" s="146">
        <v>0</v>
      </c>
      <c r="H63" s="113"/>
      <c r="I63" s="15"/>
    </row>
    <row r="64" spans="1:9" ht="19.5" customHeight="1">
      <c r="A64" s="110" t="s">
        <v>150</v>
      </c>
      <c r="B64" s="111"/>
      <c r="C64" s="111" t="s">
        <v>254</v>
      </c>
      <c r="D64" s="276" t="s">
        <v>367</v>
      </c>
      <c r="E64" s="277"/>
      <c r="F64" s="111" t="s">
        <v>457</v>
      </c>
      <c r="G64" s="112">
        <v>17</v>
      </c>
      <c r="H64" s="144">
        <v>0</v>
      </c>
      <c r="I64" s="15"/>
    </row>
    <row r="65" spans="1:9" ht="19.5" customHeight="1">
      <c r="A65" s="110"/>
      <c r="B65" s="111"/>
      <c r="C65" s="111"/>
      <c r="D65" s="145" t="s">
        <v>147</v>
      </c>
      <c r="E65" s="278"/>
      <c r="F65" s="278"/>
      <c r="G65" s="146">
        <v>17</v>
      </c>
      <c r="H65" s="113"/>
      <c r="I65" s="15"/>
    </row>
    <row r="66" spans="1:9" ht="19.5" customHeight="1">
      <c r="A66" s="110" t="s">
        <v>151</v>
      </c>
      <c r="B66" s="111"/>
      <c r="C66" s="111" t="s">
        <v>255</v>
      </c>
      <c r="D66" s="276" t="s">
        <v>368</v>
      </c>
      <c r="E66" s="277"/>
      <c r="F66" s="111" t="s">
        <v>458</v>
      </c>
      <c r="G66" s="112">
        <v>2</v>
      </c>
      <c r="H66" s="144">
        <v>0</v>
      </c>
      <c r="I66" s="15"/>
    </row>
    <row r="67" spans="1:9" ht="19.5" customHeight="1">
      <c r="A67" s="110"/>
      <c r="B67" s="111"/>
      <c r="C67" s="111"/>
      <c r="D67" s="145" t="s">
        <v>132</v>
      </c>
      <c r="E67" s="278"/>
      <c r="F67" s="278"/>
      <c r="G67" s="146">
        <v>2</v>
      </c>
      <c r="H67" s="113"/>
      <c r="I67" s="15"/>
    </row>
    <row r="68" spans="1:9" ht="19.5" customHeight="1">
      <c r="A68" s="110" t="s">
        <v>152</v>
      </c>
      <c r="B68" s="111"/>
      <c r="C68" s="111" t="s">
        <v>256</v>
      </c>
      <c r="D68" s="276" t="s">
        <v>369</v>
      </c>
      <c r="E68" s="277"/>
      <c r="F68" s="111" t="s">
        <v>458</v>
      </c>
      <c r="G68" s="112">
        <v>10</v>
      </c>
      <c r="H68" s="144">
        <v>0</v>
      </c>
      <c r="I68" s="15"/>
    </row>
    <row r="69" spans="1:9" ht="19.5" customHeight="1">
      <c r="A69" s="110"/>
      <c r="B69" s="111"/>
      <c r="C69" s="111"/>
      <c r="D69" s="145" t="s">
        <v>533</v>
      </c>
      <c r="E69" s="278"/>
      <c r="F69" s="278"/>
      <c r="G69" s="146">
        <v>10</v>
      </c>
      <c r="H69" s="113"/>
      <c r="I69" s="15"/>
    </row>
    <row r="70" spans="1:9" ht="19.5" customHeight="1">
      <c r="A70" s="147"/>
      <c r="B70" s="115"/>
      <c r="C70" s="115" t="s">
        <v>82</v>
      </c>
      <c r="D70" s="279" t="s">
        <v>106</v>
      </c>
      <c r="E70" s="280"/>
      <c r="F70" s="115"/>
      <c r="G70" s="118"/>
      <c r="H70" s="119"/>
      <c r="I70" s="15"/>
    </row>
    <row r="71" spans="1:9" ht="19.5" customHeight="1">
      <c r="A71" s="110" t="s">
        <v>153</v>
      </c>
      <c r="B71" s="111"/>
      <c r="C71" s="111" t="s">
        <v>257</v>
      </c>
      <c r="D71" s="276" t="s">
        <v>370</v>
      </c>
      <c r="E71" s="277"/>
      <c r="F71" s="111" t="s">
        <v>460</v>
      </c>
      <c r="G71" s="112">
        <v>5</v>
      </c>
      <c r="H71" s="144">
        <v>0</v>
      </c>
      <c r="I71" s="15"/>
    </row>
    <row r="72" spans="1:9" ht="19.5" customHeight="1">
      <c r="A72" s="110"/>
      <c r="B72" s="111"/>
      <c r="C72" s="111"/>
      <c r="D72" s="145" t="s">
        <v>534</v>
      </c>
      <c r="E72" s="278"/>
      <c r="F72" s="278"/>
      <c r="G72" s="146">
        <v>5</v>
      </c>
      <c r="H72" s="113"/>
      <c r="I72" s="15"/>
    </row>
    <row r="73" spans="1:9" ht="19.5" customHeight="1">
      <c r="A73" s="110" t="s">
        <v>154</v>
      </c>
      <c r="B73" s="111"/>
      <c r="C73" s="111" t="s">
        <v>258</v>
      </c>
      <c r="D73" s="276" t="s">
        <v>371</v>
      </c>
      <c r="E73" s="277"/>
      <c r="F73" s="111" t="s">
        <v>458</v>
      </c>
      <c r="G73" s="112">
        <v>5</v>
      </c>
      <c r="H73" s="144">
        <v>0</v>
      </c>
      <c r="I73" s="15"/>
    </row>
    <row r="74" spans="1:9" ht="19.5" customHeight="1">
      <c r="A74" s="110"/>
      <c r="B74" s="111"/>
      <c r="C74" s="111"/>
      <c r="D74" s="145" t="s">
        <v>135</v>
      </c>
      <c r="E74" s="278"/>
      <c r="F74" s="278"/>
      <c r="G74" s="146">
        <v>5</v>
      </c>
      <c r="H74" s="113"/>
      <c r="I74" s="15"/>
    </row>
    <row r="75" spans="1:9" ht="19.5" customHeight="1">
      <c r="A75" s="110" t="s">
        <v>155</v>
      </c>
      <c r="B75" s="111"/>
      <c r="C75" s="111" t="s">
        <v>259</v>
      </c>
      <c r="D75" s="276" t="s">
        <v>372</v>
      </c>
      <c r="E75" s="277"/>
      <c r="F75" s="111" t="s">
        <v>461</v>
      </c>
      <c r="G75" s="112">
        <v>5</v>
      </c>
      <c r="H75" s="144">
        <v>0</v>
      </c>
      <c r="I75" s="15"/>
    </row>
    <row r="76" spans="1:9" ht="19.5" customHeight="1">
      <c r="A76" s="110"/>
      <c r="B76" s="111"/>
      <c r="C76" s="111"/>
      <c r="D76" s="145" t="s">
        <v>135</v>
      </c>
      <c r="E76" s="278"/>
      <c r="F76" s="278"/>
      <c r="G76" s="146">
        <v>5</v>
      </c>
      <c r="H76" s="113"/>
      <c r="I76" s="15"/>
    </row>
    <row r="77" spans="1:9" ht="19.5" customHeight="1">
      <c r="A77" s="110" t="s">
        <v>156</v>
      </c>
      <c r="B77" s="111"/>
      <c r="C77" s="111" t="s">
        <v>260</v>
      </c>
      <c r="D77" s="276" t="s">
        <v>373</v>
      </c>
      <c r="E77" s="277"/>
      <c r="F77" s="111" t="s">
        <v>458</v>
      </c>
      <c r="G77" s="112">
        <v>1</v>
      </c>
      <c r="H77" s="144">
        <v>0</v>
      </c>
      <c r="I77" s="15"/>
    </row>
    <row r="78" spans="1:9" ht="19.5" customHeight="1">
      <c r="A78" s="110"/>
      <c r="B78" s="111"/>
      <c r="C78" s="111"/>
      <c r="D78" s="145" t="s">
        <v>131</v>
      </c>
      <c r="E78" s="278"/>
      <c r="F78" s="278"/>
      <c r="G78" s="146">
        <v>1</v>
      </c>
      <c r="H78" s="113"/>
      <c r="I78" s="15"/>
    </row>
    <row r="79" spans="1:9" ht="19.5" customHeight="1">
      <c r="A79" s="110" t="s">
        <v>157</v>
      </c>
      <c r="B79" s="111"/>
      <c r="C79" s="111" t="s">
        <v>261</v>
      </c>
      <c r="D79" s="276" t="s">
        <v>374</v>
      </c>
      <c r="E79" s="277"/>
      <c r="F79" s="111" t="s">
        <v>461</v>
      </c>
      <c r="G79" s="112">
        <v>5</v>
      </c>
      <c r="H79" s="144">
        <v>0</v>
      </c>
      <c r="I79" s="15"/>
    </row>
    <row r="80" spans="1:9" ht="19.5" customHeight="1">
      <c r="A80" s="110"/>
      <c r="B80" s="111"/>
      <c r="C80" s="111"/>
      <c r="D80" s="145" t="s">
        <v>135</v>
      </c>
      <c r="E80" s="278"/>
      <c r="F80" s="278"/>
      <c r="G80" s="146">
        <v>5</v>
      </c>
      <c r="H80" s="113"/>
      <c r="I80" s="15"/>
    </row>
    <row r="81" spans="1:9" ht="19.5" customHeight="1">
      <c r="A81" s="110" t="s">
        <v>158</v>
      </c>
      <c r="B81" s="111"/>
      <c r="C81" s="111" t="s">
        <v>262</v>
      </c>
      <c r="D81" s="276" t="s">
        <v>375</v>
      </c>
      <c r="E81" s="277"/>
      <c r="F81" s="111" t="s">
        <v>460</v>
      </c>
      <c r="G81" s="112">
        <v>1</v>
      </c>
      <c r="H81" s="144">
        <v>0</v>
      </c>
      <c r="I81" s="15"/>
    </row>
    <row r="82" spans="1:9" ht="19.5" customHeight="1">
      <c r="A82" s="147"/>
      <c r="B82" s="115"/>
      <c r="C82" s="115" t="s">
        <v>83</v>
      </c>
      <c r="D82" s="279" t="s">
        <v>107</v>
      </c>
      <c r="E82" s="280"/>
      <c r="F82" s="115"/>
      <c r="G82" s="118"/>
      <c r="H82" s="119"/>
      <c r="I82" s="15"/>
    </row>
    <row r="83" spans="1:9" ht="19.5" customHeight="1">
      <c r="A83" s="110" t="s">
        <v>159</v>
      </c>
      <c r="B83" s="111"/>
      <c r="C83" s="111" t="s">
        <v>264</v>
      </c>
      <c r="D83" s="276" t="s">
        <v>377</v>
      </c>
      <c r="E83" s="277"/>
      <c r="F83" s="111" t="s">
        <v>458</v>
      </c>
      <c r="G83" s="112">
        <v>1</v>
      </c>
      <c r="H83" s="144">
        <v>0</v>
      </c>
      <c r="I83" s="15"/>
    </row>
    <row r="84" spans="1:9" ht="19.5" customHeight="1">
      <c r="A84" s="110"/>
      <c r="B84" s="111"/>
      <c r="C84" s="111"/>
      <c r="D84" s="145" t="s">
        <v>131</v>
      </c>
      <c r="E84" s="278"/>
      <c r="F84" s="278"/>
      <c r="G84" s="146">
        <v>1</v>
      </c>
      <c r="H84" s="113"/>
      <c r="I84" s="15"/>
    </row>
    <row r="85" spans="1:9" ht="19.5" customHeight="1">
      <c r="A85" s="147"/>
      <c r="B85" s="115"/>
      <c r="C85" s="115" t="s">
        <v>84</v>
      </c>
      <c r="D85" s="279" t="s">
        <v>108</v>
      </c>
      <c r="E85" s="280"/>
      <c r="F85" s="115"/>
      <c r="G85" s="118"/>
      <c r="H85" s="119"/>
      <c r="I85" s="15"/>
    </row>
    <row r="86" spans="1:9" ht="19.5" customHeight="1">
      <c r="A86" s="110" t="s">
        <v>160</v>
      </c>
      <c r="B86" s="111"/>
      <c r="C86" s="111" t="s">
        <v>265</v>
      </c>
      <c r="D86" s="276" t="s">
        <v>378</v>
      </c>
      <c r="E86" s="277"/>
      <c r="F86" s="111" t="s">
        <v>458</v>
      </c>
      <c r="G86" s="112">
        <v>5</v>
      </c>
      <c r="H86" s="144">
        <v>0</v>
      </c>
      <c r="I86" s="15"/>
    </row>
    <row r="87" spans="1:9" ht="19.5" customHeight="1">
      <c r="A87" s="110"/>
      <c r="B87" s="111"/>
      <c r="C87" s="111"/>
      <c r="D87" s="145" t="s">
        <v>135</v>
      </c>
      <c r="E87" s="278"/>
      <c r="F87" s="278"/>
      <c r="G87" s="146">
        <v>5</v>
      </c>
      <c r="H87" s="113"/>
      <c r="I87" s="15"/>
    </row>
    <row r="88" spans="1:9" ht="19.5" customHeight="1">
      <c r="A88" s="110" t="s">
        <v>161</v>
      </c>
      <c r="B88" s="111"/>
      <c r="C88" s="111" t="s">
        <v>266</v>
      </c>
      <c r="D88" s="276" t="s">
        <v>379</v>
      </c>
      <c r="E88" s="277"/>
      <c r="F88" s="111" t="s">
        <v>456</v>
      </c>
      <c r="G88" s="112">
        <v>34.4</v>
      </c>
      <c r="H88" s="144">
        <v>0</v>
      </c>
      <c r="I88" s="15"/>
    </row>
    <row r="89" spans="1:9" ht="19.5" customHeight="1">
      <c r="A89" s="110"/>
      <c r="B89" s="111"/>
      <c r="C89" s="111"/>
      <c r="D89" s="145" t="s">
        <v>535</v>
      </c>
      <c r="E89" s="278"/>
      <c r="F89" s="278"/>
      <c r="G89" s="146">
        <v>9.6</v>
      </c>
      <c r="H89" s="113"/>
      <c r="I89" s="15"/>
    </row>
    <row r="90" spans="1:9" ht="19.5" customHeight="1">
      <c r="A90" s="110"/>
      <c r="B90" s="111"/>
      <c r="C90" s="111"/>
      <c r="D90" s="145" t="s">
        <v>536</v>
      </c>
      <c r="E90" s="278"/>
      <c r="F90" s="278"/>
      <c r="G90" s="146">
        <v>3.2</v>
      </c>
      <c r="H90" s="113"/>
      <c r="I90" s="15"/>
    </row>
    <row r="91" spans="1:9" ht="19.5" customHeight="1">
      <c r="A91" s="110"/>
      <c r="B91" s="111"/>
      <c r="C91" s="111"/>
      <c r="D91" s="145" t="s">
        <v>537</v>
      </c>
      <c r="E91" s="278"/>
      <c r="F91" s="278"/>
      <c r="G91" s="146">
        <v>21.6</v>
      </c>
      <c r="H91" s="113"/>
      <c r="I91" s="15"/>
    </row>
    <row r="92" spans="1:9" ht="19.5" customHeight="1">
      <c r="A92" s="110" t="s">
        <v>162</v>
      </c>
      <c r="B92" s="111"/>
      <c r="C92" s="111" t="s">
        <v>267</v>
      </c>
      <c r="D92" s="276" t="s">
        <v>380</v>
      </c>
      <c r="E92" s="277"/>
      <c r="F92" s="111" t="s">
        <v>456</v>
      </c>
      <c r="G92" s="112">
        <v>34.4</v>
      </c>
      <c r="H92" s="144">
        <v>0</v>
      </c>
      <c r="I92" s="15"/>
    </row>
    <row r="93" spans="1:9" ht="19.5" customHeight="1">
      <c r="A93" s="110"/>
      <c r="B93" s="111"/>
      <c r="C93" s="111"/>
      <c r="D93" s="145" t="s">
        <v>538</v>
      </c>
      <c r="E93" s="278" t="s">
        <v>574</v>
      </c>
      <c r="F93" s="278"/>
      <c r="G93" s="146">
        <v>34.4</v>
      </c>
      <c r="H93" s="113"/>
      <c r="I93" s="15"/>
    </row>
    <row r="94" spans="1:9" ht="19.5" customHeight="1">
      <c r="A94" s="110" t="s">
        <v>163</v>
      </c>
      <c r="B94" s="111"/>
      <c r="C94" s="111" t="s">
        <v>268</v>
      </c>
      <c r="D94" s="276" t="s">
        <v>381</v>
      </c>
      <c r="E94" s="277"/>
      <c r="F94" s="111" t="s">
        <v>458</v>
      </c>
      <c r="G94" s="112">
        <v>2</v>
      </c>
      <c r="H94" s="144">
        <v>0</v>
      </c>
      <c r="I94" s="15"/>
    </row>
    <row r="95" spans="1:9" ht="19.5" customHeight="1">
      <c r="A95" s="110"/>
      <c r="B95" s="111"/>
      <c r="C95" s="111"/>
      <c r="D95" s="145" t="s">
        <v>132</v>
      </c>
      <c r="E95" s="278" t="s">
        <v>575</v>
      </c>
      <c r="F95" s="278"/>
      <c r="G95" s="146">
        <v>2</v>
      </c>
      <c r="H95" s="113"/>
      <c r="I95" s="15"/>
    </row>
    <row r="96" spans="1:9" ht="19.5" customHeight="1">
      <c r="A96" s="110" t="s">
        <v>74</v>
      </c>
      <c r="B96" s="111"/>
      <c r="C96" s="111" t="s">
        <v>269</v>
      </c>
      <c r="D96" s="276" t="s">
        <v>382</v>
      </c>
      <c r="E96" s="277"/>
      <c r="F96" s="111" t="s">
        <v>458</v>
      </c>
      <c r="G96" s="112">
        <v>2</v>
      </c>
      <c r="H96" s="144">
        <v>0</v>
      </c>
      <c r="I96" s="15"/>
    </row>
    <row r="97" spans="1:9" ht="19.5" customHeight="1">
      <c r="A97" s="110"/>
      <c r="B97" s="111"/>
      <c r="C97" s="111"/>
      <c r="D97" s="145" t="s">
        <v>132</v>
      </c>
      <c r="E97" s="278"/>
      <c r="F97" s="278"/>
      <c r="G97" s="146">
        <v>2</v>
      </c>
      <c r="H97" s="113"/>
      <c r="I97" s="15"/>
    </row>
    <row r="98" spans="1:9" ht="19.5" customHeight="1">
      <c r="A98" s="120" t="s">
        <v>164</v>
      </c>
      <c r="B98" s="121"/>
      <c r="C98" s="121" t="s">
        <v>270</v>
      </c>
      <c r="D98" s="281" t="s">
        <v>383</v>
      </c>
      <c r="E98" s="282"/>
      <c r="F98" s="121" t="s">
        <v>458</v>
      </c>
      <c r="G98" s="122">
        <v>2</v>
      </c>
      <c r="H98" s="148">
        <v>0</v>
      </c>
      <c r="I98" s="15"/>
    </row>
    <row r="99" spans="1:9" ht="19.5" customHeight="1">
      <c r="A99" s="120"/>
      <c r="B99" s="121"/>
      <c r="C99" s="121"/>
      <c r="D99" s="145" t="s">
        <v>132</v>
      </c>
      <c r="E99" s="278"/>
      <c r="F99" s="278"/>
      <c r="G99" s="149">
        <v>2</v>
      </c>
      <c r="H99" s="123"/>
      <c r="I99" s="15"/>
    </row>
    <row r="100" spans="1:9" ht="19.5" customHeight="1">
      <c r="A100" s="120" t="s">
        <v>165</v>
      </c>
      <c r="B100" s="121"/>
      <c r="C100" s="121" t="s">
        <v>271</v>
      </c>
      <c r="D100" s="281" t="s">
        <v>384</v>
      </c>
      <c r="E100" s="282"/>
      <c r="F100" s="121" t="s">
        <v>458</v>
      </c>
      <c r="G100" s="122">
        <v>1</v>
      </c>
      <c r="H100" s="148">
        <v>0</v>
      </c>
      <c r="I100" s="15"/>
    </row>
    <row r="101" spans="1:9" ht="19.5" customHeight="1">
      <c r="A101" s="120"/>
      <c r="B101" s="121"/>
      <c r="C101" s="121"/>
      <c r="D101" s="145" t="s">
        <v>131</v>
      </c>
      <c r="E101" s="278"/>
      <c r="F101" s="278"/>
      <c r="G101" s="149">
        <v>1</v>
      </c>
      <c r="H101" s="123"/>
      <c r="I101" s="15"/>
    </row>
    <row r="102" spans="1:9" ht="19.5" customHeight="1">
      <c r="A102" s="120" t="s">
        <v>166</v>
      </c>
      <c r="B102" s="121"/>
      <c r="C102" s="121" t="s">
        <v>272</v>
      </c>
      <c r="D102" s="281" t="s">
        <v>385</v>
      </c>
      <c r="E102" s="282"/>
      <c r="F102" s="121" t="s">
        <v>460</v>
      </c>
      <c r="G102" s="122">
        <v>1</v>
      </c>
      <c r="H102" s="148">
        <v>0</v>
      </c>
      <c r="I102" s="15"/>
    </row>
    <row r="103" spans="1:9" ht="19.5" customHeight="1">
      <c r="A103" s="120"/>
      <c r="B103" s="121"/>
      <c r="C103" s="121"/>
      <c r="D103" s="145" t="s">
        <v>131</v>
      </c>
      <c r="E103" s="278"/>
      <c r="F103" s="278"/>
      <c r="G103" s="149">
        <v>1</v>
      </c>
      <c r="H103" s="123"/>
      <c r="I103" s="15"/>
    </row>
    <row r="104" spans="1:9" ht="19.5" customHeight="1">
      <c r="A104" s="120" t="s">
        <v>167</v>
      </c>
      <c r="B104" s="121"/>
      <c r="C104" s="121" t="s">
        <v>273</v>
      </c>
      <c r="D104" s="281" t="s">
        <v>386</v>
      </c>
      <c r="E104" s="282"/>
      <c r="F104" s="121" t="s">
        <v>458</v>
      </c>
      <c r="G104" s="122">
        <v>1</v>
      </c>
      <c r="H104" s="148">
        <v>0</v>
      </c>
      <c r="I104" s="15"/>
    </row>
    <row r="105" spans="1:9" ht="19.5" customHeight="1">
      <c r="A105" s="120"/>
      <c r="B105" s="121"/>
      <c r="C105" s="121"/>
      <c r="D105" s="145" t="s">
        <v>131</v>
      </c>
      <c r="E105" s="278"/>
      <c r="F105" s="278"/>
      <c r="G105" s="149">
        <v>1</v>
      </c>
      <c r="H105" s="123"/>
      <c r="I105" s="15"/>
    </row>
    <row r="106" spans="1:9" ht="19.5" customHeight="1">
      <c r="A106" s="147"/>
      <c r="B106" s="115"/>
      <c r="C106" s="115" t="s">
        <v>85</v>
      </c>
      <c r="D106" s="279" t="s">
        <v>109</v>
      </c>
      <c r="E106" s="280"/>
      <c r="F106" s="115"/>
      <c r="G106" s="118"/>
      <c r="H106" s="119"/>
      <c r="I106" s="15"/>
    </row>
    <row r="107" spans="1:9" ht="19.5" customHeight="1">
      <c r="A107" s="110" t="s">
        <v>168</v>
      </c>
      <c r="B107" s="111"/>
      <c r="C107" s="111" t="s">
        <v>274</v>
      </c>
      <c r="D107" s="276" t="s">
        <v>387</v>
      </c>
      <c r="E107" s="277"/>
      <c r="F107" s="111" t="s">
        <v>457</v>
      </c>
      <c r="G107" s="112">
        <v>67.6</v>
      </c>
      <c r="H107" s="144">
        <v>0</v>
      </c>
      <c r="I107" s="15"/>
    </row>
    <row r="108" spans="1:9" ht="19.5" customHeight="1">
      <c r="A108" s="110"/>
      <c r="B108" s="111"/>
      <c r="C108" s="111"/>
      <c r="D108" s="145" t="s">
        <v>539</v>
      </c>
      <c r="E108" s="278"/>
      <c r="F108" s="278"/>
      <c r="G108" s="146">
        <v>67.6</v>
      </c>
      <c r="H108" s="113"/>
      <c r="I108" s="15"/>
    </row>
    <row r="109" spans="1:9" ht="19.5" customHeight="1">
      <c r="A109" s="110" t="s">
        <v>169</v>
      </c>
      <c r="B109" s="111"/>
      <c r="C109" s="111" t="s">
        <v>275</v>
      </c>
      <c r="D109" s="276" t="s">
        <v>388</v>
      </c>
      <c r="E109" s="277"/>
      <c r="F109" s="111" t="s">
        <v>456</v>
      </c>
      <c r="G109" s="112">
        <v>204.29</v>
      </c>
      <c r="H109" s="144">
        <v>0</v>
      </c>
      <c r="I109" s="15"/>
    </row>
    <row r="110" spans="1:9" ht="19.5" customHeight="1">
      <c r="A110" s="110"/>
      <c r="B110" s="111"/>
      <c r="C110" s="111"/>
      <c r="D110" s="145" t="s">
        <v>540</v>
      </c>
      <c r="E110" s="278"/>
      <c r="F110" s="278"/>
      <c r="G110" s="146">
        <v>204.29</v>
      </c>
      <c r="H110" s="113"/>
      <c r="I110" s="15"/>
    </row>
    <row r="111" spans="1:9" ht="19.5" customHeight="1">
      <c r="A111" s="110" t="s">
        <v>170</v>
      </c>
      <c r="B111" s="111"/>
      <c r="C111" s="111" t="s">
        <v>277</v>
      </c>
      <c r="D111" s="276" t="s">
        <v>390</v>
      </c>
      <c r="E111" s="277"/>
      <c r="F111" s="111" t="s">
        <v>456</v>
      </c>
      <c r="G111" s="112">
        <v>242.58</v>
      </c>
      <c r="H111" s="144">
        <v>0</v>
      </c>
      <c r="I111" s="15"/>
    </row>
    <row r="112" spans="1:9" ht="19.5" customHeight="1">
      <c r="A112" s="110"/>
      <c r="B112" s="111"/>
      <c r="C112" s="111"/>
      <c r="D112" s="145" t="s">
        <v>541</v>
      </c>
      <c r="E112" s="278"/>
      <c r="F112" s="278"/>
      <c r="G112" s="146">
        <v>242.58</v>
      </c>
      <c r="H112" s="113"/>
      <c r="I112" s="15"/>
    </row>
    <row r="113" spans="1:9" ht="19.5" customHeight="1">
      <c r="A113" s="110" t="s">
        <v>171</v>
      </c>
      <c r="B113" s="111"/>
      <c r="C113" s="111" t="s">
        <v>278</v>
      </c>
      <c r="D113" s="276" t="s">
        <v>391</v>
      </c>
      <c r="E113" s="277"/>
      <c r="F113" s="111" t="s">
        <v>457</v>
      </c>
      <c r="G113" s="112">
        <v>90.1</v>
      </c>
      <c r="H113" s="144">
        <v>0</v>
      </c>
      <c r="I113" s="15"/>
    </row>
    <row r="114" spans="1:9" ht="19.5" customHeight="1">
      <c r="A114" s="110"/>
      <c r="B114" s="111"/>
      <c r="C114" s="111"/>
      <c r="D114" s="145" t="s">
        <v>542</v>
      </c>
      <c r="E114" s="278"/>
      <c r="F114" s="278"/>
      <c r="G114" s="146">
        <v>90.1</v>
      </c>
      <c r="H114" s="113"/>
      <c r="I114" s="15"/>
    </row>
    <row r="115" spans="1:9" ht="19.5" customHeight="1">
      <c r="A115" s="110" t="s">
        <v>172</v>
      </c>
      <c r="B115" s="111"/>
      <c r="C115" s="111" t="s">
        <v>279</v>
      </c>
      <c r="D115" s="276" t="s">
        <v>392</v>
      </c>
      <c r="E115" s="277"/>
      <c r="F115" s="111" t="s">
        <v>456</v>
      </c>
      <c r="G115" s="112">
        <v>242.58</v>
      </c>
      <c r="H115" s="144">
        <v>0</v>
      </c>
      <c r="I115" s="15"/>
    </row>
    <row r="116" spans="1:9" ht="19.5" customHeight="1">
      <c r="A116" s="110"/>
      <c r="B116" s="111"/>
      <c r="C116" s="111"/>
      <c r="D116" s="145" t="s">
        <v>541</v>
      </c>
      <c r="E116" s="278"/>
      <c r="F116" s="278"/>
      <c r="G116" s="146">
        <v>242.58</v>
      </c>
      <c r="H116" s="113"/>
      <c r="I116" s="15"/>
    </row>
    <row r="117" spans="1:9" ht="19.5" customHeight="1">
      <c r="A117" s="110" t="s">
        <v>173</v>
      </c>
      <c r="B117" s="111"/>
      <c r="C117" s="111" t="s">
        <v>281</v>
      </c>
      <c r="D117" s="276" t="s">
        <v>394</v>
      </c>
      <c r="E117" s="277"/>
      <c r="F117" s="111" t="s">
        <v>456</v>
      </c>
      <c r="G117" s="112">
        <v>242</v>
      </c>
      <c r="H117" s="144">
        <v>0</v>
      </c>
      <c r="I117" s="15"/>
    </row>
    <row r="118" spans="1:9" ht="19.5" customHeight="1">
      <c r="A118" s="110"/>
      <c r="B118" s="111"/>
      <c r="C118" s="111"/>
      <c r="D118" s="145" t="s">
        <v>543</v>
      </c>
      <c r="E118" s="278"/>
      <c r="F118" s="278"/>
      <c r="G118" s="146">
        <v>242</v>
      </c>
      <c r="H118" s="113"/>
      <c r="I118" s="15"/>
    </row>
    <row r="119" spans="1:9" ht="19.5" customHeight="1">
      <c r="A119" s="110" t="s">
        <v>174</v>
      </c>
      <c r="B119" s="111"/>
      <c r="C119" s="111" t="s">
        <v>282</v>
      </c>
      <c r="D119" s="276" t="s">
        <v>395</v>
      </c>
      <c r="E119" s="277"/>
      <c r="F119" s="111" t="s">
        <v>457</v>
      </c>
      <c r="G119" s="112">
        <v>119.1</v>
      </c>
      <c r="H119" s="144">
        <v>0</v>
      </c>
      <c r="I119" s="15"/>
    </row>
    <row r="120" spans="1:9" ht="19.5" customHeight="1">
      <c r="A120" s="110"/>
      <c r="B120" s="111"/>
      <c r="C120" s="111"/>
      <c r="D120" s="145" t="s">
        <v>544</v>
      </c>
      <c r="E120" s="278"/>
      <c r="F120" s="278"/>
      <c r="G120" s="146">
        <v>119.1</v>
      </c>
      <c r="H120" s="113"/>
      <c r="I120" s="15"/>
    </row>
    <row r="121" spans="1:9" ht="19.5" customHeight="1">
      <c r="A121" s="110" t="s">
        <v>175</v>
      </c>
      <c r="B121" s="111"/>
      <c r="C121" s="111" t="s">
        <v>283</v>
      </c>
      <c r="D121" s="276" t="s">
        <v>396</v>
      </c>
      <c r="E121" s="277"/>
      <c r="F121" s="111" t="s">
        <v>457</v>
      </c>
      <c r="G121" s="112">
        <v>2</v>
      </c>
      <c r="H121" s="144">
        <v>0</v>
      </c>
      <c r="I121" s="15"/>
    </row>
    <row r="122" spans="1:9" ht="19.5" customHeight="1">
      <c r="A122" s="110"/>
      <c r="B122" s="111"/>
      <c r="C122" s="111"/>
      <c r="D122" s="145" t="s">
        <v>132</v>
      </c>
      <c r="E122" s="278"/>
      <c r="F122" s="278"/>
      <c r="G122" s="146">
        <v>2</v>
      </c>
      <c r="H122" s="113"/>
      <c r="I122" s="15"/>
    </row>
    <row r="123" spans="1:9" ht="19.5" customHeight="1">
      <c r="A123" s="147"/>
      <c r="B123" s="115"/>
      <c r="C123" s="115" t="s">
        <v>86</v>
      </c>
      <c r="D123" s="279" t="s">
        <v>110</v>
      </c>
      <c r="E123" s="280"/>
      <c r="F123" s="115"/>
      <c r="G123" s="118"/>
      <c r="H123" s="119"/>
      <c r="I123" s="15"/>
    </row>
    <row r="124" spans="1:9" ht="19.5" customHeight="1">
      <c r="A124" s="110" t="s">
        <v>176</v>
      </c>
      <c r="B124" s="111"/>
      <c r="C124" s="111" t="s">
        <v>284</v>
      </c>
      <c r="D124" s="276" t="s">
        <v>397</v>
      </c>
      <c r="E124" s="277"/>
      <c r="F124" s="111" t="s">
        <v>456</v>
      </c>
      <c r="G124" s="112">
        <v>6.125</v>
      </c>
      <c r="H124" s="144">
        <v>0</v>
      </c>
      <c r="I124" s="15"/>
    </row>
    <row r="125" spans="1:9" ht="19.5" customHeight="1">
      <c r="A125" s="110"/>
      <c r="B125" s="111"/>
      <c r="C125" s="111"/>
      <c r="D125" s="145" t="s">
        <v>545</v>
      </c>
      <c r="E125" s="278"/>
      <c r="F125" s="278"/>
      <c r="G125" s="146">
        <v>6.125</v>
      </c>
      <c r="H125" s="113"/>
      <c r="I125" s="15"/>
    </row>
    <row r="126" spans="1:9" ht="19.5" customHeight="1">
      <c r="A126" s="110" t="s">
        <v>177</v>
      </c>
      <c r="B126" s="111"/>
      <c r="C126" s="111" t="s">
        <v>285</v>
      </c>
      <c r="D126" s="276" t="s">
        <v>398</v>
      </c>
      <c r="E126" s="277"/>
      <c r="F126" s="111" t="s">
        <v>456</v>
      </c>
      <c r="G126" s="112">
        <v>6.125</v>
      </c>
      <c r="H126" s="144">
        <v>0</v>
      </c>
      <c r="I126" s="15"/>
    </row>
    <row r="127" spans="1:9" ht="19.5" customHeight="1">
      <c r="A127" s="110"/>
      <c r="B127" s="111"/>
      <c r="C127" s="111"/>
      <c r="D127" s="145" t="s">
        <v>545</v>
      </c>
      <c r="E127" s="278"/>
      <c r="F127" s="278"/>
      <c r="G127" s="146">
        <v>6.125</v>
      </c>
      <c r="H127" s="113"/>
      <c r="I127" s="15"/>
    </row>
    <row r="128" spans="1:9" ht="19.5" customHeight="1">
      <c r="A128" s="110"/>
      <c r="B128" s="111"/>
      <c r="C128" s="111"/>
      <c r="D128" s="145"/>
      <c r="E128" s="278" t="s">
        <v>576</v>
      </c>
      <c r="F128" s="278"/>
      <c r="G128" s="146">
        <v>0</v>
      </c>
      <c r="H128" s="113"/>
      <c r="I128" s="15"/>
    </row>
    <row r="129" spans="1:9" ht="19.5" customHeight="1">
      <c r="A129" s="110" t="s">
        <v>178</v>
      </c>
      <c r="B129" s="111"/>
      <c r="C129" s="111" t="s">
        <v>286</v>
      </c>
      <c r="D129" s="276" t="s">
        <v>399</v>
      </c>
      <c r="E129" s="277"/>
      <c r="F129" s="111" t="s">
        <v>458</v>
      </c>
      <c r="G129" s="112">
        <v>15</v>
      </c>
      <c r="H129" s="144">
        <v>0</v>
      </c>
      <c r="I129" s="15"/>
    </row>
    <row r="130" spans="1:9" ht="19.5" customHeight="1">
      <c r="A130" s="110"/>
      <c r="B130" s="111"/>
      <c r="C130" s="111"/>
      <c r="D130" s="145" t="s">
        <v>546</v>
      </c>
      <c r="E130" s="278"/>
      <c r="F130" s="278"/>
      <c r="G130" s="146">
        <v>15</v>
      </c>
      <c r="H130" s="113"/>
      <c r="I130" s="15"/>
    </row>
    <row r="131" spans="1:9" ht="19.5" customHeight="1">
      <c r="A131" s="110" t="s">
        <v>179</v>
      </c>
      <c r="B131" s="111"/>
      <c r="C131" s="111" t="s">
        <v>287</v>
      </c>
      <c r="D131" s="276" t="s">
        <v>400</v>
      </c>
      <c r="E131" s="277"/>
      <c r="F131" s="111" t="s">
        <v>457</v>
      </c>
      <c r="G131" s="112">
        <v>5.25</v>
      </c>
      <c r="H131" s="144">
        <v>0</v>
      </c>
      <c r="I131" s="15"/>
    </row>
    <row r="132" spans="1:9" ht="19.5" customHeight="1">
      <c r="A132" s="110"/>
      <c r="B132" s="111"/>
      <c r="C132" s="111"/>
      <c r="D132" s="145" t="s">
        <v>547</v>
      </c>
      <c r="E132" s="278"/>
      <c r="F132" s="278"/>
      <c r="G132" s="146">
        <v>5.25</v>
      </c>
      <c r="H132" s="113"/>
      <c r="I132" s="15"/>
    </row>
    <row r="133" spans="1:9" ht="19.5" customHeight="1">
      <c r="A133" s="120" t="s">
        <v>180</v>
      </c>
      <c r="B133" s="121"/>
      <c r="C133" s="121" t="s">
        <v>290</v>
      </c>
      <c r="D133" s="281" t="s">
        <v>403</v>
      </c>
      <c r="E133" s="282"/>
      <c r="F133" s="121" t="s">
        <v>456</v>
      </c>
      <c r="G133" s="122">
        <v>7.7</v>
      </c>
      <c r="H133" s="148">
        <v>0</v>
      </c>
      <c r="I133" s="15"/>
    </row>
    <row r="134" spans="1:9" ht="19.5" customHeight="1">
      <c r="A134" s="120"/>
      <c r="B134" s="121"/>
      <c r="C134" s="121"/>
      <c r="D134" s="145" t="s">
        <v>137</v>
      </c>
      <c r="E134" s="278"/>
      <c r="F134" s="278"/>
      <c r="G134" s="149">
        <v>7</v>
      </c>
      <c r="H134" s="123"/>
      <c r="I134" s="15"/>
    </row>
    <row r="135" spans="1:9" ht="19.5" customHeight="1">
      <c r="A135" s="120"/>
      <c r="B135" s="121"/>
      <c r="C135" s="121"/>
      <c r="D135" s="145" t="s">
        <v>548</v>
      </c>
      <c r="E135" s="278"/>
      <c r="F135" s="278"/>
      <c r="G135" s="149">
        <v>0.7</v>
      </c>
      <c r="H135" s="123"/>
      <c r="I135" s="15"/>
    </row>
    <row r="136" spans="1:9" ht="19.5" customHeight="1">
      <c r="A136" s="147"/>
      <c r="B136" s="115"/>
      <c r="C136" s="115" t="s">
        <v>87</v>
      </c>
      <c r="D136" s="279" t="s">
        <v>111</v>
      </c>
      <c r="E136" s="280"/>
      <c r="F136" s="115"/>
      <c r="G136" s="118"/>
      <c r="H136" s="119"/>
      <c r="I136" s="15"/>
    </row>
    <row r="137" spans="1:9" ht="19.5" customHeight="1">
      <c r="A137" s="110" t="s">
        <v>181</v>
      </c>
      <c r="B137" s="111"/>
      <c r="C137" s="111" t="s">
        <v>291</v>
      </c>
      <c r="D137" s="276" t="s">
        <v>404</v>
      </c>
      <c r="E137" s="277"/>
      <c r="F137" s="111" t="s">
        <v>460</v>
      </c>
      <c r="G137" s="112">
        <v>2</v>
      </c>
      <c r="H137" s="144">
        <v>0</v>
      </c>
      <c r="I137" s="15"/>
    </row>
    <row r="138" spans="1:9" ht="19.5" customHeight="1">
      <c r="A138" s="110"/>
      <c r="B138" s="111"/>
      <c r="C138" s="111"/>
      <c r="D138" s="145" t="s">
        <v>132</v>
      </c>
      <c r="E138" s="278"/>
      <c r="F138" s="278"/>
      <c r="G138" s="146">
        <v>2</v>
      </c>
      <c r="H138" s="113"/>
      <c r="I138" s="15"/>
    </row>
    <row r="139" spans="1:9" ht="19.5" customHeight="1">
      <c r="A139" s="110" t="s">
        <v>182</v>
      </c>
      <c r="B139" s="111"/>
      <c r="C139" s="111" t="s">
        <v>292</v>
      </c>
      <c r="D139" s="276" t="s">
        <v>405</v>
      </c>
      <c r="E139" s="277"/>
      <c r="F139" s="111" t="s">
        <v>456</v>
      </c>
      <c r="G139" s="112">
        <v>13.68</v>
      </c>
      <c r="H139" s="144">
        <v>0</v>
      </c>
      <c r="I139" s="15"/>
    </row>
    <row r="140" spans="1:9" ht="19.5" customHeight="1">
      <c r="A140" s="110"/>
      <c r="B140" s="111"/>
      <c r="C140" s="111"/>
      <c r="D140" s="145" t="s">
        <v>549</v>
      </c>
      <c r="E140" s="278"/>
      <c r="F140" s="278"/>
      <c r="G140" s="146">
        <v>13.68</v>
      </c>
      <c r="H140" s="113"/>
      <c r="I140" s="15"/>
    </row>
    <row r="141" spans="1:9" ht="19.5" customHeight="1">
      <c r="A141" s="110" t="s">
        <v>183</v>
      </c>
      <c r="B141" s="111"/>
      <c r="C141" s="111" t="s">
        <v>293</v>
      </c>
      <c r="D141" s="276" t="s">
        <v>406</v>
      </c>
      <c r="E141" s="277"/>
      <c r="F141" s="111" t="s">
        <v>457</v>
      </c>
      <c r="G141" s="112">
        <v>30</v>
      </c>
      <c r="H141" s="144">
        <v>0</v>
      </c>
      <c r="I141" s="15"/>
    </row>
    <row r="142" spans="1:9" ht="19.5" customHeight="1">
      <c r="A142" s="110"/>
      <c r="B142" s="111"/>
      <c r="C142" s="111"/>
      <c r="D142" s="145" t="s">
        <v>550</v>
      </c>
      <c r="E142" s="278"/>
      <c r="F142" s="278"/>
      <c r="G142" s="146">
        <v>30</v>
      </c>
      <c r="H142" s="113"/>
      <c r="I142" s="15"/>
    </row>
    <row r="143" spans="1:9" ht="19.5" customHeight="1">
      <c r="A143" s="147"/>
      <c r="B143" s="115"/>
      <c r="C143" s="115" t="s">
        <v>88</v>
      </c>
      <c r="D143" s="279" t="s">
        <v>112</v>
      </c>
      <c r="E143" s="280"/>
      <c r="F143" s="115"/>
      <c r="G143" s="118"/>
      <c r="H143" s="119"/>
      <c r="I143" s="15"/>
    </row>
    <row r="144" spans="1:9" ht="19.5" customHeight="1">
      <c r="A144" s="110" t="s">
        <v>184</v>
      </c>
      <c r="B144" s="111"/>
      <c r="C144" s="111" t="s">
        <v>295</v>
      </c>
      <c r="D144" s="276" t="s">
        <v>408</v>
      </c>
      <c r="E144" s="277"/>
      <c r="F144" s="111" t="s">
        <v>457</v>
      </c>
      <c r="G144" s="112">
        <v>30</v>
      </c>
      <c r="H144" s="144">
        <v>0</v>
      </c>
      <c r="I144" s="15"/>
    </row>
    <row r="145" spans="1:9" ht="19.5" customHeight="1">
      <c r="A145" s="110"/>
      <c r="B145" s="111"/>
      <c r="C145" s="111"/>
      <c r="D145" s="145" t="s">
        <v>160</v>
      </c>
      <c r="E145" s="278"/>
      <c r="F145" s="278"/>
      <c r="G145" s="146">
        <v>30</v>
      </c>
      <c r="H145" s="113"/>
      <c r="I145" s="15"/>
    </row>
    <row r="146" spans="1:9" ht="19.5" customHeight="1">
      <c r="A146" s="110" t="s">
        <v>185</v>
      </c>
      <c r="B146" s="111"/>
      <c r="C146" s="111" t="s">
        <v>296</v>
      </c>
      <c r="D146" s="276" t="s">
        <v>409</v>
      </c>
      <c r="E146" s="277"/>
      <c r="F146" s="111" t="s">
        <v>456</v>
      </c>
      <c r="G146" s="112">
        <v>155.04</v>
      </c>
      <c r="H146" s="144">
        <v>0</v>
      </c>
      <c r="I146" s="15"/>
    </row>
    <row r="147" spans="1:9" ht="19.5" customHeight="1">
      <c r="A147" s="110"/>
      <c r="B147" s="111"/>
      <c r="C147" s="111"/>
      <c r="D147" s="145" t="s">
        <v>551</v>
      </c>
      <c r="E147" s="278"/>
      <c r="F147" s="278"/>
      <c r="G147" s="146">
        <v>36</v>
      </c>
      <c r="H147" s="113"/>
      <c r="I147" s="15"/>
    </row>
    <row r="148" spans="1:9" ht="19.5" customHeight="1">
      <c r="A148" s="110"/>
      <c r="B148" s="111"/>
      <c r="C148" s="111"/>
      <c r="D148" s="145" t="s">
        <v>160</v>
      </c>
      <c r="E148" s="278"/>
      <c r="F148" s="278"/>
      <c r="G148" s="146">
        <v>30</v>
      </c>
      <c r="H148" s="113"/>
      <c r="I148" s="15"/>
    </row>
    <row r="149" spans="1:9" ht="19.5" customHeight="1">
      <c r="A149" s="110"/>
      <c r="B149" s="111"/>
      <c r="C149" s="111"/>
      <c r="D149" s="145" t="s">
        <v>552</v>
      </c>
      <c r="E149" s="278"/>
      <c r="F149" s="278"/>
      <c r="G149" s="146">
        <v>89.04</v>
      </c>
      <c r="H149" s="113"/>
      <c r="I149" s="15"/>
    </row>
    <row r="150" spans="1:9" ht="19.5" customHeight="1">
      <c r="A150" s="110" t="s">
        <v>186</v>
      </c>
      <c r="B150" s="111"/>
      <c r="C150" s="111" t="s">
        <v>297</v>
      </c>
      <c r="D150" s="276" t="s">
        <v>410</v>
      </c>
      <c r="E150" s="277"/>
      <c r="F150" s="111" t="s">
        <v>456</v>
      </c>
      <c r="G150" s="112">
        <v>155.04</v>
      </c>
      <c r="H150" s="144">
        <v>0</v>
      </c>
      <c r="I150" s="15"/>
    </row>
    <row r="151" spans="1:9" ht="19.5" customHeight="1">
      <c r="A151" s="110"/>
      <c r="B151" s="111"/>
      <c r="C151" s="111"/>
      <c r="D151" s="145" t="s">
        <v>552</v>
      </c>
      <c r="E151" s="278"/>
      <c r="F151" s="278"/>
      <c r="G151" s="146">
        <v>89.04</v>
      </c>
      <c r="H151" s="113"/>
      <c r="I151" s="15"/>
    </row>
    <row r="152" spans="1:9" ht="19.5" customHeight="1">
      <c r="A152" s="110"/>
      <c r="B152" s="111"/>
      <c r="C152" s="111"/>
      <c r="D152" s="145" t="s">
        <v>551</v>
      </c>
      <c r="E152" s="278"/>
      <c r="F152" s="278"/>
      <c r="G152" s="146">
        <v>36</v>
      </c>
      <c r="H152" s="113"/>
      <c r="I152" s="15"/>
    </row>
    <row r="153" spans="1:9" ht="19.5" customHeight="1">
      <c r="A153" s="110"/>
      <c r="B153" s="111"/>
      <c r="C153" s="111"/>
      <c r="D153" s="145" t="s">
        <v>160</v>
      </c>
      <c r="E153" s="278"/>
      <c r="F153" s="278"/>
      <c r="G153" s="146">
        <v>30</v>
      </c>
      <c r="H153" s="113"/>
      <c r="I153" s="15"/>
    </row>
    <row r="154" spans="1:9" ht="19.5" customHeight="1">
      <c r="A154" s="110" t="s">
        <v>187</v>
      </c>
      <c r="B154" s="111"/>
      <c r="C154" s="111" t="s">
        <v>298</v>
      </c>
      <c r="D154" s="276" t="s">
        <v>411</v>
      </c>
      <c r="E154" s="277"/>
      <c r="F154" s="111" t="s">
        <v>456</v>
      </c>
      <c r="G154" s="112">
        <v>50</v>
      </c>
      <c r="H154" s="144">
        <v>0</v>
      </c>
      <c r="I154" s="15"/>
    </row>
    <row r="155" spans="1:9" ht="19.5" customHeight="1">
      <c r="A155" s="110"/>
      <c r="B155" s="111"/>
      <c r="C155" s="111"/>
      <c r="D155" s="145" t="s">
        <v>179</v>
      </c>
      <c r="E155" s="278"/>
      <c r="F155" s="278"/>
      <c r="G155" s="146">
        <v>50</v>
      </c>
      <c r="H155" s="113"/>
      <c r="I155" s="15"/>
    </row>
    <row r="156" spans="1:9" ht="19.5" customHeight="1">
      <c r="A156" s="147"/>
      <c r="B156" s="115"/>
      <c r="C156" s="115" t="s">
        <v>89</v>
      </c>
      <c r="D156" s="279" t="s">
        <v>113</v>
      </c>
      <c r="E156" s="280"/>
      <c r="F156" s="115"/>
      <c r="G156" s="118"/>
      <c r="H156" s="119"/>
      <c r="I156" s="15"/>
    </row>
    <row r="157" spans="1:9" ht="19.5" customHeight="1">
      <c r="A157" s="110" t="s">
        <v>188</v>
      </c>
      <c r="B157" s="111"/>
      <c r="C157" s="111" t="s">
        <v>299</v>
      </c>
      <c r="D157" s="276" t="s">
        <v>412</v>
      </c>
      <c r="E157" s="277"/>
      <c r="F157" s="111" t="s">
        <v>456</v>
      </c>
      <c r="G157" s="112">
        <v>40</v>
      </c>
      <c r="H157" s="144">
        <v>0</v>
      </c>
      <c r="I157" s="15"/>
    </row>
    <row r="158" spans="1:9" ht="19.5" customHeight="1">
      <c r="A158" s="110"/>
      <c r="B158" s="111"/>
      <c r="C158" s="111"/>
      <c r="D158" s="145" t="s">
        <v>169</v>
      </c>
      <c r="E158" s="278"/>
      <c r="F158" s="278"/>
      <c r="G158" s="146">
        <v>40</v>
      </c>
      <c r="H158" s="113"/>
      <c r="I158" s="15"/>
    </row>
    <row r="159" spans="1:9" ht="19.5" customHeight="1">
      <c r="A159" s="147"/>
      <c r="B159" s="115"/>
      <c r="C159" s="115" t="s">
        <v>90</v>
      </c>
      <c r="D159" s="279" t="s">
        <v>114</v>
      </c>
      <c r="E159" s="280"/>
      <c r="F159" s="115"/>
      <c r="G159" s="118"/>
      <c r="H159" s="119"/>
      <c r="I159" s="15"/>
    </row>
    <row r="160" spans="1:9" ht="19.5" customHeight="1">
      <c r="A160" s="110" t="s">
        <v>189</v>
      </c>
      <c r="B160" s="111"/>
      <c r="C160" s="111" t="s">
        <v>300</v>
      </c>
      <c r="D160" s="276" t="s">
        <v>413</v>
      </c>
      <c r="E160" s="277"/>
      <c r="F160" s="111" t="s">
        <v>456</v>
      </c>
      <c r="G160" s="112">
        <v>100</v>
      </c>
      <c r="H160" s="144">
        <v>0</v>
      </c>
      <c r="I160" s="15"/>
    </row>
    <row r="161" spans="1:9" ht="19.5" customHeight="1">
      <c r="A161" s="110"/>
      <c r="B161" s="111"/>
      <c r="C161" s="111"/>
      <c r="D161" s="145" t="s">
        <v>222</v>
      </c>
      <c r="E161" s="278"/>
      <c r="F161" s="278"/>
      <c r="G161" s="146">
        <v>100</v>
      </c>
      <c r="H161" s="113"/>
      <c r="I161" s="15"/>
    </row>
    <row r="162" spans="1:9" ht="19.5" customHeight="1">
      <c r="A162" s="147"/>
      <c r="B162" s="115"/>
      <c r="C162" s="115" t="s">
        <v>91</v>
      </c>
      <c r="D162" s="279" t="s">
        <v>115</v>
      </c>
      <c r="E162" s="280"/>
      <c r="F162" s="115"/>
      <c r="G162" s="118"/>
      <c r="H162" s="119"/>
      <c r="I162" s="15"/>
    </row>
    <row r="163" spans="1:9" ht="19.5" customHeight="1">
      <c r="A163" s="110" t="s">
        <v>75</v>
      </c>
      <c r="B163" s="111"/>
      <c r="C163" s="111" t="s">
        <v>301</v>
      </c>
      <c r="D163" s="276" t="s">
        <v>414</v>
      </c>
      <c r="E163" s="277"/>
      <c r="F163" s="111" t="s">
        <v>456</v>
      </c>
      <c r="G163" s="112">
        <v>37.5</v>
      </c>
      <c r="H163" s="144">
        <v>0</v>
      </c>
      <c r="I163" s="15"/>
    </row>
    <row r="164" spans="1:9" ht="19.5" customHeight="1">
      <c r="A164" s="110"/>
      <c r="B164" s="111"/>
      <c r="C164" s="111"/>
      <c r="D164" s="145" t="s">
        <v>553</v>
      </c>
      <c r="E164" s="278"/>
      <c r="F164" s="278"/>
      <c r="G164" s="146">
        <v>37.5</v>
      </c>
      <c r="H164" s="113"/>
      <c r="I164" s="15"/>
    </row>
    <row r="165" spans="1:9" ht="19.5" customHeight="1">
      <c r="A165" s="110" t="s">
        <v>76</v>
      </c>
      <c r="B165" s="111"/>
      <c r="C165" s="111" t="s">
        <v>302</v>
      </c>
      <c r="D165" s="276" t="s">
        <v>415</v>
      </c>
      <c r="E165" s="277"/>
      <c r="F165" s="111" t="s">
        <v>456</v>
      </c>
      <c r="G165" s="112">
        <v>37.5</v>
      </c>
      <c r="H165" s="144">
        <v>0</v>
      </c>
      <c r="I165" s="15"/>
    </row>
    <row r="166" spans="1:9" ht="19.5" customHeight="1">
      <c r="A166" s="110"/>
      <c r="B166" s="111"/>
      <c r="C166" s="111"/>
      <c r="D166" s="145" t="s">
        <v>554</v>
      </c>
      <c r="E166" s="278"/>
      <c r="F166" s="278"/>
      <c r="G166" s="146">
        <v>27.405</v>
      </c>
      <c r="H166" s="113"/>
      <c r="I166" s="15"/>
    </row>
    <row r="167" spans="1:9" ht="19.5" customHeight="1">
      <c r="A167" s="110"/>
      <c r="B167" s="111"/>
      <c r="C167" s="111"/>
      <c r="D167" s="145" t="s">
        <v>555</v>
      </c>
      <c r="E167" s="278"/>
      <c r="F167" s="278"/>
      <c r="G167" s="146">
        <v>10.08</v>
      </c>
      <c r="H167" s="113"/>
      <c r="I167" s="15"/>
    </row>
    <row r="168" spans="1:9" ht="19.5" customHeight="1">
      <c r="A168" s="110"/>
      <c r="B168" s="111"/>
      <c r="C168" s="111"/>
      <c r="D168" s="145" t="s">
        <v>556</v>
      </c>
      <c r="E168" s="278"/>
      <c r="F168" s="278"/>
      <c r="G168" s="146">
        <v>0.015</v>
      </c>
      <c r="H168" s="113"/>
      <c r="I168" s="15"/>
    </row>
    <row r="169" spans="1:9" ht="19.5" customHeight="1">
      <c r="A169" s="110" t="s">
        <v>77</v>
      </c>
      <c r="B169" s="111"/>
      <c r="C169" s="111" t="s">
        <v>303</v>
      </c>
      <c r="D169" s="276" t="s">
        <v>416</v>
      </c>
      <c r="E169" s="277"/>
      <c r="F169" s="111" t="s">
        <v>462</v>
      </c>
      <c r="G169" s="112">
        <v>3</v>
      </c>
      <c r="H169" s="144">
        <v>0</v>
      </c>
      <c r="I169" s="15"/>
    </row>
    <row r="170" spans="1:9" ht="19.5" customHeight="1">
      <c r="A170" s="110"/>
      <c r="B170" s="111"/>
      <c r="C170" s="111"/>
      <c r="D170" s="145" t="s">
        <v>131</v>
      </c>
      <c r="E170" s="278" t="s">
        <v>577</v>
      </c>
      <c r="F170" s="278"/>
      <c r="G170" s="146">
        <v>1</v>
      </c>
      <c r="H170" s="113"/>
      <c r="I170" s="15"/>
    </row>
    <row r="171" spans="1:9" ht="19.5" customHeight="1">
      <c r="A171" s="110"/>
      <c r="B171" s="111"/>
      <c r="C171" s="111"/>
      <c r="D171" s="145" t="s">
        <v>132</v>
      </c>
      <c r="E171" s="278" t="s">
        <v>578</v>
      </c>
      <c r="F171" s="278"/>
      <c r="G171" s="146">
        <v>2</v>
      </c>
      <c r="H171" s="113"/>
      <c r="I171" s="15"/>
    </row>
    <row r="172" spans="1:9" ht="19.5" customHeight="1">
      <c r="A172" s="110" t="s">
        <v>78</v>
      </c>
      <c r="B172" s="111"/>
      <c r="C172" s="111" t="s">
        <v>304</v>
      </c>
      <c r="D172" s="276" t="s">
        <v>417</v>
      </c>
      <c r="E172" s="277"/>
      <c r="F172" s="111" t="s">
        <v>456</v>
      </c>
      <c r="G172" s="112">
        <v>37.5</v>
      </c>
      <c r="H172" s="144">
        <v>0</v>
      </c>
      <c r="I172" s="15"/>
    </row>
    <row r="173" spans="1:9" ht="19.5" customHeight="1">
      <c r="A173" s="110"/>
      <c r="B173" s="111"/>
      <c r="C173" s="111"/>
      <c r="D173" s="145" t="s">
        <v>554</v>
      </c>
      <c r="E173" s="278" t="s">
        <v>579</v>
      </c>
      <c r="F173" s="278"/>
      <c r="G173" s="146">
        <v>27.405</v>
      </c>
      <c r="H173" s="113"/>
      <c r="I173" s="15"/>
    </row>
    <row r="174" spans="1:9" ht="19.5" customHeight="1">
      <c r="A174" s="110"/>
      <c r="B174" s="111"/>
      <c r="C174" s="111"/>
      <c r="D174" s="145" t="s">
        <v>555</v>
      </c>
      <c r="E174" s="278" t="s">
        <v>580</v>
      </c>
      <c r="F174" s="278"/>
      <c r="G174" s="146">
        <v>10.08</v>
      </c>
      <c r="H174" s="113"/>
      <c r="I174" s="15"/>
    </row>
    <row r="175" spans="1:9" ht="19.5" customHeight="1">
      <c r="A175" s="110"/>
      <c r="B175" s="111"/>
      <c r="C175" s="111"/>
      <c r="D175" s="145" t="s">
        <v>556</v>
      </c>
      <c r="E175" s="278"/>
      <c r="F175" s="278"/>
      <c r="G175" s="146">
        <v>0.015</v>
      </c>
      <c r="H175" s="113"/>
      <c r="I175" s="15"/>
    </row>
    <row r="176" spans="1:9" ht="19.5" customHeight="1">
      <c r="A176" s="110" t="s">
        <v>190</v>
      </c>
      <c r="B176" s="111"/>
      <c r="C176" s="111" t="s">
        <v>305</v>
      </c>
      <c r="D176" s="276" t="s">
        <v>418</v>
      </c>
      <c r="E176" s="277"/>
      <c r="F176" s="111" t="s">
        <v>458</v>
      </c>
      <c r="G176" s="112">
        <v>5</v>
      </c>
      <c r="H176" s="144">
        <v>0</v>
      </c>
      <c r="I176" s="15"/>
    </row>
    <row r="177" spans="1:9" ht="19.5" customHeight="1">
      <c r="A177" s="110"/>
      <c r="B177" s="111"/>
      <c r="C177" s="111"/>
      <c r="D177" s="145" t="s">
        <v>557</v>
      </c>
      <c r="E177" s="278"/>
      <c r="F177" s="278"/>
      <c r="G177" s="146">
        <v>5</v>
      </c>
      <c r="H177" s="113"/>
      <c r="I177" s="15"/>
    </row>
    <row r="178" spans="1:9" ht="19.5" customHeight="1">
      <c r="A178" s="110" t="s">
        <v>191</v>
      </c>
      <c r="B178" s="111"/>
      <c r="C178" s="111" t="s">
        <v>306</v>
      </c>
      <c r="D178" s="276" t="s">
        <v>419</v>
      </c>
      <c r="E178" s="277"/>
      <c r="F178" s="111" t="s">
        <v>456</v>
      </c>
      <c r="G178" s="112">
        <v>1</v>
      </c>
      <c r="H178" s="144">
        <v>0</v>
      </c>
      <c r="I178" s="15"/>
    </row>
    <row r="179" spans="1:9" ht="19.5" customHeight="1">
      <c r="A179" s="110"/>
      <c r="B179" s="111"/>
      <c r="C179" s="111"/>
      <c r="D179" s="145" t="s">
        <v>131</v>
      </c>
      <c r="E179" s="278" t="s">
        <v>581</v>
      </c>
      <c r="F179" s="278"/>
      <c r="G179" s="146">
        <v>1</v>
      </c>
      <c r="H179" s="113"/>
      <c r="I179" s="15"/>
    </row>
    <row r="180" spans="1:9" ht="19.5" customHeight="1">
      <c r="A180" s="110" t="s">
        <v>192</v>
      </c>
      <c r="B180" s="111"/>
      <c r="C180" s="111" t="s">
        <v>307</v>
      </c>
      <c r="D180" s="276" t="s">
        <v>420</v>
      </c>
      <c r="E180" s="277"/>
      <c r="F180" s="111" t="s">
        <v>456</v>
      </c>
      <c r="G180" s="112">
        <v>47.1</v>
      </c>
      <c r="H180" s="144">
        <v>0</v>
      </c>
      <c r="I180" s="15"/>
    </row>
    <row r="181" spans="1:9" ht="19.5" customHeight="1">
      <c r="A181" s="110"/>
      <c r="B181" s="111"/>
      <c r="C181" s="111"/>
      <c r="D181" s="145" t="s">
        <v>558</v>
      </c>
      <c r="E181" s="278"/>
      <c r="F181" s="278"/>
      <c r="G181" s="146">
        <v>47.0525</v>
      </c>
      <c r="H181" s="113"/>
      <c r="I181" s="15"/>
    </row>
    <row r="182" spans="1:9" ht="19.5" customHeight="1">
      <c r="A182" s="110"/>
      <c r="B182" s="111"/>
      <c r="C182" s="111"/>
      <c r="D182" s="145" t="s">
        <v>559</v>
      </c>
      <c r="E182" s="278"/>
      <c r="F182" s="278"/>
      <c r="G182" s="146">
        <v>0.0475</v>
      </c>
      <c r="H182" s="113"/>
      <c r="I182" s="15"/>
    </row>
    <row r="183" spans="1:9" ht="19.5" customHeight="1">
      <c r="A183" s="110" t="s">
        <v>193</v>
      </c>
      <c r="B183" s="111"/>
      <c r="C183" s="111" t="s">
        <v>308</v>
      </c>
      <c r="D183" s="276" t="s">
        <v>421</v>
      </c>
      <c r="E183" s="277"/>
      <c r="F183" s="111" t="s">
        <v>460</v>
      </c>
      <c r="G183" s="112">
        <v>1</v>
      </c>
      <c r="H183" s="144">
        <v>0</v>
      </c>
      <c r="I183" s="15"/>
    </row>
    <row r="184" spans="1:9" ht="19.5" customHeight="1">
      <c r="A184" s="110"/>
      <c r="B184" s="111"/>
      <c r="C184" s="111"/>
      <c r="D184" s="145" t="s">
        <v>131</v>
      </c>
      <c r="E184" s="278"/>
      <c r="F184" s="278"/>
      <c r="G184" s="146">
        <v>1</v>
      </c>
      <c r="H184" s="113"/>
      <c r="I184" s="15"/>
    </row>
    <row r="185" spans="1:9" ht="19.5" customHeight="1">
      <c r="A185" s="147"/>
      <c r="B185" s="115"/>
      <c r="C185" s="115" t="s">
        <v>92</v>
      </c>
      <c r="D185" s="279" t="s">
        <v>116</v>
      </c>
      <c r="E185" s="280"/>
      <c r="F185" s="115"/>
      <c r="G185" s="118"/>
      <c r="H185" s="119"/>
      <c r="I185" s="15"/>
    </row>
    <row r="186" spans="1:9" ht="19.5" customHeight="1">
      <c r="A186" s="110" t="s">
        <v>194</v>
      </c>
      <c r="B186" s="111"/>
      <c r="C186" s="111" t="s">
        <v>309</v>
      </c>
      <c r="D186" s="276" t="s">
        <v>422</v>
      </c>
      <c r="E186" s="277"/>
      <c r="F186" s="111" t="s">
        <v>456</v>
      </c>
      <c r="G186" s="112">
        <v>17.73</v>
      </c>
      <c r="H186" s="144">
        <v>0</v>
      </c>
      <c r="I186" s="15"/>
    </row>
    <row r="187" spans="1:9" ht="19.5" customHeight="1">
      <c r="A187" s="110"/>
      <c r="B187" s="111"/>
      <c r="C187" s="111"/>
      <c r="D187" s="145" t="s">
        <v>560</v>
      </c>
      <c r="E187" s="278" t="s">
        <v>582</v>
      </c>
      <c r="F187" s="278"/>
      <c r="G187" s="146">
        <v>3.78</v>
      </c>
      <c r="H187" s="113"/>
      <c r="I187" s="15"/>
    </row>
    <row r="188" spans="1:9" ht="19.5" customHeight="1">
      <c r="A188" s="110"/>
      <c r="B188" s="111"/>
      <c r="C188" s="111"/>
      <c r="D188" s="145" t="s">
        <v>561</v>
      </c>
      <c r="E188" s="278" t="s">
        <v>583</v>
      </c>
      <c r="F188" s="278"/>
      <c r="G188" s="146">
        <v>9.75</v>
      </c>
      <c r="H188" s="113"/>
      <c r="I188" s="15"/>
    </row>
    <row r="189" spans="1:9" ht="19.5" customHeight="1">
      <c r="A189" s="110"/>
      <c r="B189" s="111"/>
      <c r="C189" s="111"/>
      <c r="D189" s="145" t="s">
        <v>562</v>
      </c>
      <c r="E189" s="278"/>
      <c r="F189" s="278"/>
      <c r="G189" s="146">
        <v>4.2</v>
      </c>
      <c r="H189" s="113"/>
      <c r="I189" s="15"/>
    </row>
    <row r="190" spans="1:9" ht="19.5" customHeight="1">
      <c r="A190" s="110" t="s">
        <v>195</v>
      </c>
      <c r="B190" s="111"/>
      <c r="C190" s="111" t="s">
        <v>310</v>
      </c>
      <c r="D190" s="276" t="s">
        <v>423</v>
      </c>
      <c r="E190" s="277"/>
      <c r="F190" s="111" t="s">
        <v>456</v>
      </c>
      <c r="G190" s="112">
        <v>0.84</v>
      </c>
      <c r="H190" s="144">
        <v>0</v>
      </c>
      <c r="I190" s="15"/>
    </row>
    <row r="191" spans="1:9" ht="19.5" customHeight="1">
      <c r="A191" s="110"/>
      <c r="B191" s="111"/>
      <c r="C191" s="111"/>
      <c r="D191" s="145" t="s">
        <v>563</v>
      </c>
      <c r="E191" s="278" t="s">
        <v>581</v>
      </c>
      <c r="F191" s="278"/>
      <c r="G191" s="146">
        <v>0.84</v>
      </c>
      <c r="H191" s="113"/>
      <c r="I191" s="15"/>
    </row>
    <row r="192" spans="1:9" ht="19.5" customHeight="1">
      <c r="A192" s="110" t="s">
        <v>196</v>
      </c>
      <c r="B192" s="111"/>
      <c r="C192" s="111" t="s">
        <v>311</v>
      </c>
      <c r="D192" s="276" t="s">
        <v>424</v>
      </c>
      <c r="E192" s="277"/>
      <c r="F192" s="111" t="s">
        <v>457</v>
      </c>
      <c r="G192" s="112">
        <v>20</v>
      </c>
      <c r="H192" s="144">
        <v>0</v>
      </c>
      <c r="I192" s="15"/>
    </row>
    <row r="193" spans="1:9" ht="19.5" customHeight="1">
      <c r="A193" s="110"/>
      <c r="B193" s="111"/>
      <c r="C193" s="111"/>
      <c r="D193" s="145" t="s">
        <v>564</v>
      </c>
      <c r="E193" s="278"/>
      <c r="F193" s="278"/>
      <c r="G193" s="146">
        <v>20</v>
      </c>
      <c r="H193" s="113"/>
      <c r="I193" s="15"/>
    </row>
    <row r="194" spans="1:9" ht="19.5" customHeight="1">
      <c r="A194" s="110" t="s">
        <v>197</v>
      </c>
      <c r="B194" s="111"/>
      <c r="C194" s="111" t="s">
        <v>312</v>
      </c>
      <c r="D194" s="276" t="s">
        <v>425</v>
      </c>
      <c r="E194" s="277"/>
      <c r="F194" s="111" t="s">
        <v>458</v>
      </c>
      <c r="G194" s="112">
        <v>3</v>
      </c>
      <c r="H194" s="144">
        <v>0</v>
      </c>
      <c r="I194" s="15"/>
    </row>
    <row r="195" spans="1:9" ht="19.5" customHeight="1">
      <c r="A195" s="110"/>
      <c r="B195" s="111"/>
      <c r="C195" s="111"/>
      <c r="D195" s="145" t="s">
        <v>133</v>
      </c>
      <c r="E195" s="278"/>
      <c r="F195" s="278"/>
      <c r="G195" s="146">
        <v>3</v>
      </c>
      <c r="H195" s="113"/>
      <c r="I195" s="15"/>
    </row>
    <row r="196" spans="1:9" ht="19.5" customHeight="1">
      <c r="A196" s="110" t="s">
        <v>198</v>
      </c>
      <c r="B196" s="111"/>
      <c r="C196" s="111" t="s">
        <v>313</v>
      </c>
      <c r="D196" s="276" t="s">
        <v>426</v>
      </c>
      <c r="E196" s="277"/>
      <c r="F196" s="111" t="s">
        <v>457</v>
      </c>
      <c r="G196" s="112">
        <v>12</v>
      </c>
      <c r="H196" s="144">
        <v>0</v>
      </c>
      <c r="I196" s="15"/>
    </row>
    <row r="197" spans="1:9" ht="19.5" customHeight="1">
      <c r="A197" s="110"/>
      <c r="B197" s="111"/>
      <c r="C197" s="111"/>
      <c r="D197" s="145" t="s">
        <v>142</v>
      </c>
      <c r="E197" s="278"/>
      <c r="F197" s="278"/>
      <c r="G197" s="146">
        <v>12</v>
      </c>
      <c r="H197" s="113"/>
      <c r="I197" s="15"/>
    </row>
    <row r="198" spans="1:9" ht="19.5" customHeight="1">
      <c r="A198" s="147"/>
      <c r="B198" s="115"/>
      <c r="C198" s="115" t="s">
        <v>93</v>
      </c>
      <c r="D198" s="279" t="s">
        <v>117</v>
      </c>
      <c r="E198" s="280"/>
      <c r="F198" s="115"/>
      <c r="G198" s="118"/>
      <c r="H198" s="119"/>
      <c r="I198" s="15"/>
    </row>
    <row r="199" spans="1:9" ht="19.5" customHeight="1">
      <c r="A199" s="110" t="s">
        <v>199</v>
      </c>
      <c r="B199" s="111"/>
      <c r="C199" s="111" t="s">
        <v>314</v>
      </c>
      <c r="D199" s="276" t="s">
        <v>427</v>
      </c>
      <c r="E199" s="277"/>
      <c r="F199" s="111" t="s">
        <v>463</v>
      </c>
      <c r="G199" s="112">
        <v>19</v>
      </c>
      <c r="H199" s="144">
        <v>0</v>
      </c>
      <c r="I199" s="15"/>
    </row>
    <row r="200" spans="1:9" ht="19.5" customHeight="1">
      <c r="A200" s="110"/>
      <c r="B200" s="111"/>
      <c r="C200" s="111"/>
      <c r="D200" s="145" t="s">
        <v>149</v>
      </c>
      <c r="E200" s="278"/>
      <c r="F200" s="278"/>
      <c r="G200" s="146">
        <v>19</v>
      </c>
      <c r="H200" s="113"/>
      <c r="I200" s="15"/>
    </row>
    <row r="201" spans="1:9" ht="19.5" customHeight="1">
      <c r="A201" s="147"/>
      <c r="B201" s="115"/>
      <c r="C201" s="115" t="s">
        <v>94</v>
      </c>
      <c r="D201" s="279" t="s">
        <v>118</v>
      </c>
      <c r="E201" s="280"/>
      <c r="F201" s="115"/>
      <c r="G201" s="118"/>
      <c r="H201" s="119"/>
      <c r="I201" s="15"/>
    </row>
    <row r="202" spans="1:9" ht="19.5" customHeight="1">
      <c r="A202" s="110" t="s">
        <v>200</v>
      </c>
      <c r="B202" s="111"/>
      <c r="C202" s="111" t="s">
        <v>315</v>
      </c>
      <c r="D202" s="276" t="s">
        <v>428</v>
      </c>
      <c r="E202" s="277"/>
      <c r="F202" s="111" t="s">
        <v>464</v>
      </c>
      <c r="G202" s="112">
        <v>1</v>
      </c>
      <c r="H202" s="144">
        <v>0</v>
      </c>
      <c r="I202" s="15"/>
    </row>
    <row r="203" spans="1:9" ht="19.5" customHeight="1">
      <c r="A203" s="110"/>
      <c r="B203" s="111"/>
      <c r="C203" s="111"/>
      <c r="D203" s="145" t="s">
        <v>131</v>
      </c>
      <c r="E203" s="278"/>
      <c r="F203" s="278"/>
      <c r="G203" s="146">
        <v>1</v>
      </c>
      <c r="H203" s="113"/>
      <c r="I203" s="15"/>
    </row>
    <row r="204" spans="1:9" ht="19.5" customHeight="1">
      <c r="A204" s="110" t="s">
        <v>201</v>
      </c>
      <c r="B204" s="111"/>
      <c r="C204" s="111" t="s">
        <v>316</v>
      </c>
      <c r="D204" s="276" t="s">
        <v>429</v>
      </c>
      <c r="E204" s="277"/>
      <c r="F204" s="111" t="s">
        <v>464</v>
      </c>
      <c r="G204" s="112">
        <v>1</v>
      </c>
      <c r="H204" s="144">
        <v>0</v>
      </c>
      <c r="I204" s="15"/>
    </row>
    <row r="205" spans="1:9" ht="19.5" customHeight="1">
      <c r="A205" s="110"/>
      <c r="B205" s="111"/>
      <c r="C205" s="111"/>
      <c r="D205" s="145" t="s">
        <v>131</v>
      </c>
      <c r="E205" s="278"/>
      <c r="F205" s="278"/>
      <c r="G205" s="146">
        <v>1</v>
      </c>
      <c r="H205" s="113"/>
      <c r="I205" s="15"/>
    </row>
    <row r="206" spans="1:9" ht="19.5" customHeight="1">
      <c r="A206" s="110" t="s">
        <v>202</v>
      </c>
      <c r="B206" s="111"/>
      <c r="C206" s="111" t="s">
        <v>317</v>
      </c>
      <c r="D206" s="276" t="s">
        <v>430</v>
      </c>
      <c r="E206" s="277"/>
      <c r="F206" s="111" t="s">
        <v>460</v>
      </c>
      <c r="G206" s="112">
        <v>2</v>
      </c>
      <c r="H206" s="144">
        <v>0</v>
      </c>
      <c r="I206" s="15"/>
    </row>
    <row r="207" spans="1:9" ht="19.5" customHeight="1">
      <c r="A207" s="110"/>
      <c r="B207" s="111"/>
      <c r="C207" s="111"/>
      <c r="D207" s="145" t="s">
        <v>132</v>
      </c>
      <c r="E207" s="278"/>
      <c r="F207" s="278"/>
      <c r="G207" s="146">
        <v>2</v>
      </c>
      <c r="H207" s="113"/>
      <c r="I207" s="15"/>
    </row>
    <row r="208" spans="1:9" ht="19.5" customHeight="1">
      <c r="A208" s="110" t="s">
        <v>203</v>
      </c>
      <c r="B208" s="111"/>
      <c r="C208" s="111" t="s">
        <v>318</v>
      </c>
      <c r="D208" s="276" t="s">
        <v>431</v>
      </c>
      <c r="E208" s="277"/>
      <c r="F208" s="111" t="s">
        <v>460</v>
      </c>
      <c r="G208" s="112">
        <v>2</v>
      </c>
      <c r="H208" s="144">
        <v>0</v>
      </c>
      <c r="I208" s="15"/>
    </row>
    <row r="209" spans="1:9" ht="19.5" customHeight="1">
      <c r="A209" s="110"/>
      <c r="B209" s="111"/>
      <c r="C209" s="111"/>
      <c r="D209" s="145" t="s">
        <v>132</v>
      </c>
      <c r="E209" s="278"/>
      <c r="F209" s="278"/>
      <c r="G209" s="146">
        <v>2</v>
      </c>
      <c r="H209" s="113"/>
      <c r="I209" s="15"/>
    </row>
    <row r="210" spans="1:9" ht="19.5" customHeight="1">
      <c r="A210" s="110" t="s">
        <v>204</v>
      </c>
      <c r="B210" s="111"/>
      <c r="C210" s="111" t="s">
        <v>319</v>
      </c>
      <c r="D210" s="276" t="s">
        <v>432</v>
      </c>
      <c r="E210" s="277"/>
      <c r="F210" s="111" t="s">
        <v>460</v>
      </c>
      <c r="G210" s="112">
        <v>5</v>
      </c>
      <c r="H210" s="144">
        <v>0</v>
      </c>
      <c r="I210" s="15"/>
    </row>
    <row r="211" spans="1:9" ht="19.5" customHeight="1">
      <c r="A211" s="110"/>
      <c r="B211" s="111"/>
      <c r="C211" s="111"/>
      <c r="D211" s="145" t="s">
        <v>135</v>
      </c>
      <c r="E211" s="278"/>
      <c r="F211" s="278"/>
      <c r="G211" s="146">
        <v>5</v>
      </c>
      <c r="H211" s="113"/>
      <c r="I211" s="15"/>
    </row>
    <row r="212" spans="1:9" ht="19.5" customHeight="1">
      <c r="A212" s="110" t="s">
        <v>205</v>
      </c>
      <c r="B212" s="111"/>
      <c r="C212" s="111" t="s">
        <v>320</v>
      </c>
      <c r="D212" s="276" t="s">
        <v>433</v>
      </c>
      <c r="E212" s="277"/>
      <c r="F212" s="111" t="s">
        <v>460</v>
      </c>
      <c r="G212" s="112">
        <v>5</v>
      </c>
      <c r="H212" s="144">
        <v>0</v>
      </c>
      <c r="I212" s="15"/>
    </row>
    <row r="213" spans="1:9" ht="19.5" customHeight="1">
      <c r="A213" s="110"/>
      <c r="B213" s="111"/>
      <c r="C213" s="111"/>
      <c r="D213" s="145" t="s">
        <v>135</v>
      </c>
      <c r="E213" s="278"/>
      <c r="F213" s="278"/>
      <c r="G213" s="146">
        <v>5</v>
      </c>
      <c r="H213" s="113"/>
      <c r="I213" s="15"/>
    </row>
    <row r="214" spans="1:9" ht="19.5" customHeight="1">
      <c r="A214" s="110" t="s">
        <v>206</v>
      </c>
      <c r="B214" s="111"/>
      <c r="C214" s="111" t="s">
        <v>321</v>
      </c>
      <c r="D214" s="276" t="s">
        <v>434</v>
      </c>
      <c r="E214" s="277"/>
      <c r="F214" s="111" t="s">
        <v>460</v>
      </c>
      <c r="G214" s="112">
        <v>10</v>
      </c>
      <c r="H214" s="144">
        <v>0</v>
      </c>
      <c r="I214" s="15"/>
    </row>
    <row r="215" spans="1:9" ht="19.5" customHeight="1">
      <c r="A215" s="110"/>
      <c r="B215" s="111"/>
      <c r="C215" s="111"/>
      <c r="D215" s="145" t="s">
        <v>140</v>
      </c>
      <c r="E215" s="278"/>
      <c r="F215" s="278"/>
      <c r="G215" s="146">
        <v>10</v>
      </c>
      <c r="H215" s="113"/>
      <c r="I215" s="15"/>
    </row>
    <row r="216" spans="1:9" ht="19.5" customHeight="1">
      <c r="A216" s="110" t="s">
        <v>207</v>
      </c>
      <c r="B216" s="111"/>
      <c r="C216" s="111" t="s">
        <v>322</v>
      </c>
      <c r="D216" s="276" t="s">
        <v>435</v>
      </c>
      <c r="E216" s="277"/>
      <c r="F216" s="111" t="s">
        <v>460</v>
      </c>
      <c r="G216" s="112">
        <v>6</v>
      </c>
      <c r="H216" s="144">
        <v>0</v>
      </c>
      <c r="I216" s="15"/>
    </row>
    <row r="217" spans="1:9" ht="19.5" customHeight="1">
      <c r="A217" s="110"/>
      <c r="B217" s="111"/>
      <c r="C217" s="111"/>
      <c r="D217" s="145" t="s">
        <v>136</v>
      </c>
      <c r="E217" s="278"/>
      <c r="F217" s="278"/>
      <c r="G217" s="146">
        <v>6</v>
      </c>
      <c r="H217" s="113"/>
      <c r="I217" s="15"/>
    </row>
    <row r="218" spans="1:9" ht="19.5" customHeight="1">
      <c r="A218" s="110" t="s">
        <v>208</v>
      </c>
      <c r="B218" s="111"/>
      <c r="C218" s="111" t="s">
        <v>323</v>
      </c>
      <c r="D218" s="276" t="s">
        <v>436</v>
      </c>
      <c r="E218" s="277"/>
      <c r="F218" s="111" t="s">
        <v>457</v>
      </c>
      <c r="G218" s="112">
        <v>22</v>
      </c>
      <c r="H218" s="144">
        <v>0</v>
      </c>
      <c r="I218" s="15"/>
    </row>
    <row r="219" spans="1:9" ht="19.5" customHeight="1">
      <c r="A219" s="110"/>
      <c r="B219" s="111"/>
      <c r="C219" s="111"/>
      <c r="D219" s="145" t="s">
        <v>152</v>
      </c>
      <c r="E219" s="278"/>
      <c r="F219" s="278"/>
      <c r="G219" s="146">
        <v>22</v>
      </c>
      <c r="H219" s="113"/>
      <c r="I219" s="15"/>
    </row>
    <row r="220" spans="1:9" ht="19.5" customHeight="1">
      <c r="A220" s="110" t="s">
        <v>209</v>
      </c>
      <c r="B220" s="111"/>
      <c r="C220" s="111" t="s">
        <v>324</v>
      </c>
      <c r="D220" s="276" t="s">
        <v>437</v>
      </c>
      <c r="E220" s="277"/>
      <c r="F220" s="111" t="s">
        <v>457</v>
      </c>
      <c r="G220" s="112">
        <v>79</v>
      </c>
      <c r="H220" s="144">
        <v>0</v>
      </c>
      <c r="I220" s="15"/>
    </row>
    <row r="221" spans="1:9" ht="19.5" customHeight="1">
      <c r="A221" s="110"/>
      <c r="B221" s="111"/>
      <c r="C221" s="111"/>
      <c r="D221" s="145" t="s">
        <v>565</v>
      </c>
      <c r="E221" s="278"/>
      <c r="F221" s="278"/>
      <c r="G221" s="146">
        <v>79</v>
      </c>
      <c r="H221" s="113"/>
      <c r="I221" s="15"/>
    </row>
    <row r="222" spans="1:9" ht="19.5" customHeight="1">
      <c r="A222" s="110" t="s">
        <v>210</v>
      </c>
      <c r="B222" s="111"/>
      <c r="C222" s="111" t="s">
        <v>325</v>
      </c>
      <c r="D222" s="276" t="s">
        <v>438</v>
      </c>
      <c r="E222" s="277"/>
      <c r="F222" s="111" t="s">
        <v>460</v>
      </c>
      <c r="G222" s="112">
        <v>44</v>
      </c>
      <c r="H222" s="144">
        <v>0</v>
      </c>
      <c r="I222" s="15"/>
    </row>
    <row r="223" spans="1:9" ht="19.5" customHeight="1">
      <c r="A223" s="110"/>
      <c r="B223" s="111"/>
      <c r="C223" s="111"/>
      <c r="D223" s="145" t="s">
        <v>566</v>
      </c>
      <c r="E223" s="278"/>
      <c r="F223" s="278"/>
      <c r="G223" s="146">
        <v>44</v>
      </c>
      <c r="H223" s="113"/>
      <c r="I223" s="15"/>
    </row>
    <row r="224" spans="1:9" ht="19.5" customHeight="1">
      <c r="A224" s="110" t="s">
        <v>211</v>
      </c>
      <c r="B224" s="111"/>
      <c r="C224" s="111" t="s">
        <v>326</v>
      </c>
      <c r="D224" s="276" t="s">
        <v>439</v>
      </c>
      <c r="E224" s="277"/>
      <c r="F224" s="111" t="s">
        <v>464</v>
      </c>
      <c r="G224" s="112">
        <v>1</v>
      </c>
      <c r="H224" s="144">
        <v>0</v>
      </c>
      <c r="I224" s="15"/>
    </row>
    <row r="225" spans="1:9" ht="19.5" customHeight="1">
      <c r="A225" s="110" t="s">
        <v>212</v>
      </c>
      <c r="B225" s="111"/>
      <c r="C225" s="111" t="s">
        <v>327</v>
      </c>
      <c r="D225" s="276" t="s">
        <v>440</v>
      </c>
      <c r="E225" s="277"/>
      <c r="F225" s="111" t="s">
        <v>464</v>
      </c>
      <c r="G225" s="112">
        <v>1</v>
      </c>
      <c r="H225" s="144">
        <v>0</v>
      </c>
      <c r="I225" s="15"/>
    </row>
    <row r="226" spans="1:9" ht="19.5" customHeight="1">
      <c r="A226" s="110"/>
      <c r="B226" s="111"/>
      <c r="C226" s="111"/>
      <c r="D226" s="145" t="s">
        <v>131</v>
      </c>
      <c r="E226" s="278"/>
      <c r="F226" s="278"/>
      <c r="G226" s="146">
        <v>1</v>
      </c>
      <c r="H226" s="113"/>
      <c r="I226" s="15"/>
    </row>
    <row r="227" spans="1:9" ht="19.5" customHeight="1">
      <c r="A227" s="110" t="s">
        <v>213</v>
      </c>
      <c r="B227" s="111"/>
      <c r="C227" s="111" t="s">
        <v>328</v>
      </c>
      <c r="D227" s="276" t="s">
        <v>441</v>
      </c>
      <c r="E227" s="277"/>
      <c r="F227" s="111" t="s">
        <v>460</v>
      </c>
      <c r="G227" s="112">
        <v>10</v>
      </c>
      <c r="H227" s="144">
        <v>0</v>
      </c>
      <c r="I227" s="15"/>
    </row>
    <row r="228" spans="1:9" ht="19.5" customHeight="1">
      <c r="A228" s="110"/>
      <c r="B228" s="111"/>
      <c r="C228" s="111"/>
      <c r="D228" s="145" t="s">
        <v>140</v>
      </c>
      <c r="E228" s="278"/>
      <c r="F228" s="278"/>
      <c r="G228" s="146">
        <v>10</v>
      </c>
      <c r="H228" s="113"/>
      <c r="I228" s="15"/>
    </row>
    <row r="229" spans="1:9" ht="19.5" customHeight="1">
      <c r="A229" s="110" t="s">
        <v>214</v>
      </c>
      <c r="B229" s="111"/>
      <c r="C229" s="111" t="s">
        <v>329</v>
      </c>
      <c r="D229" s="276" t="s">
        <v>442</v>
      </c>
      <c r="E229" s="277"/>
      <c r="F229" s="111" t="s">
        <v>464</v>
      </c>
      <c r="G229" s="112">
        <v>1</v>
      </c>
      <c r="H229" s="144">
        <v>0</v>
      </c>
      <c r="I229" s="15"/>
    </row>
    <row r="230" spans="1:9" ht="19.5" customHeight="1">
      <c r="A230" s="110"/>
      <c r="B230" s="111"/>
      <c r="C230" s="111"/>
      <c r="D230" s="145" t="s">
        <v>131</v>
      </c>
      <c r="E230" s="278"/>
      <c r="F230" s="278"/>
      <c r="G230" s="146">
        <v>1</v>
      </c>
      <c r="H230" s="113"/>
      <c r="I230" s="15"/>
    </row>
    <row r="231" spans="1:9" ht="19.5" customHeight="1">
      <c r="A231" s="110" t="s">
        <v>215</v>
      </c>
      <c r="B231" s="111"/>
      <c r="C231" s="111" t="s">
        <v>330</v>
      </c>
      <c r="D231" s="276" t="s">
        <v>443</v>
      </c>
      <c r="E231" s="277"/>
      <c r="F231" s="111" t="s">
        <v>457</v>
      </c>
      <c r="G231" s="112">
        <v>6</v>
      </c>
      <c r="H231" s="144">
        <v>0</v>
      </c>
      <c r="I231" s="15"/>
    </row>
    <row r="232" spans="1:9" ht="19.5" customHeight="1">
      <c r="A232" s="110"/>
      <c r="B232" s="111"/>
      <c r="C232" s="111"/>
      <c r="D232" s="145" t="s">
        <v>567</v>
      </c>
      <c r="E232" s="278"/>
      <c r="F232" s="278"/>
      <c r="G232" s="146">
        <v>6</v>
      </c>
      <c r="H232" s="113"/>
      <c r="I232" s="15"/>
    </row>
    <row r="233" spans="1:9" ht="19.5" customHeight="1">
      <c r="A233" s="147"/>
      <c r="B233" s="115"/>
      <c r="C233" s="115" t="s">
        <v>95</v>
      </c>
      <c r="D233" s="279" t="s">
        <v>119</v>
      </c>
      <c r="E233" s="280"/>
      <c r="F233" s="115"/>
      <c r="G233" s="118"/>
      <c r="H233" s="119"/>
      <c r="I233" s="15"/>
    </row>
    <row r="234" spans="1:9" ht="19.5" customHeight="1">
      <c r="A234" s="110" t="s">
        <v>216</v>
      </c>
      <c r="B234" s="111"/>
      <c r="C234" s="111" t="s">
        <v>331</v>
      </c>
      <c r="D234" s="276" t="s">
        <v>444</v>
      </c>
      <c r="E234" s="277"/>
      <c r="F234" s="111" t="s">
        <v>463</v>
      </c>
      <c r="G234" s="112">
        <v>13.5</v>
      </c>
      <c r="H234" s="144">
        <v>0</v>
      </c>
      <c r="I234" s="15"/>
    </row>
    <row r="235" spans="1:9" ht="19.5" customHeight="1">
      <c r="A235" s="110"/>
      <c r="B235" s="111"/>
      <c r="C235" s="111"/>
      <c r="D235" s="145" t="s">
        <v>524</v>
      </c>
      <c r="E235" s="278"/>
      <c r="F235" s="278"/>
      <c r="G235" s="146">
        <v>13.5</v>
      </c>
      <c r="H235" s="113"/>
      <c r="I235" s="15"/>
    </row>
    <row r="236" spans="1:9" ht="19.5" customHeight="1">
      <c r="A236" s="110" t="s">
        <v>217</v>
      </c>
      <c r="B236" s="111"/>
      <c r="C236" s="111" t="s">
        <v>332</v>
      </c>
      <c r="D236" s="276" t="s">
        <v>445</v>
      </c>
      <c r="E236" s="277"/>
      <c r="F236" s="111" t="s">
        <v>463</v>
      </c>
      <c r="G236" s="112">
        <v>13.5</v>
      </c>
      <c r="H236" s="144">
        <v>0</v>
      </c>
      <c r="I236" s="15"/>
    </row>
    <row r="237" spans="1:9" ht="19.5" customHeight="1">
      <c r="A237" s="110"/>
      <c r="B237" s="111"/>
      <c r="C237" s="111"/>
      <c r="D237" s="145" t="s">
        <v>524</v>
      </c>
      <c r="E237" s="278"/>
      <c r="F237" s="278"/>
      <c r="G237" s="146">
        <v>13.5</v>
      </c>
      <c r="H237" s="113"/>
      <c r="I237" s="15"/>
    </row>
    <row r="238" spans="1:9" ht="19.5" customHeight="1">
      <c r="A238" s="110" t="s">
        <v>218</v>
      </c>
      <c r="B238" s="111"/>
      <c r="C238" s="111" t="s">
        <v>333</v>
      </c>
      <c r="D238" s="276" t="s">
        <v>446</v>
      </c>
      <c r="E238" s="277"/>
      <c r="F238" s="111" t="s">
        <v>463</v>
      </c>
      <c r="G238" s="112">
        <v>337.5</v>
      </c>
      <c r="H238" s="144">
        <v>0</v>
      </c>
      <c r="I238" s="15"/>
    </row>
    <row r="239" spans="1:9" ht="19.5" customHeight="1">
      <c r="A239" s="110"/>
      <c r="B239" s="111"/>
      <c r="C239" s="111"/>
      <c r="D239" s="145" t="s">
        <v>568</v>
      </c>
      <c r="E239" s="278"/>
      <c r="F239" s="278"/>
      <c r="G239" s="146">
        <v>337.5</v>
      </c>
      <c r="H239" s="113"/>
      <c r="I239" s="15"/>
    </row>
    <row r="240" spans="1:9" ht="19.5" customHeight="1">
      <c r="A240" s="110" t="s">
        <v>89</v>
      </c>
      <c r="B240" s="111"/>
      <c r="C240" s="111" t="s">
        <v>334</v>
      </c>
      <c r="D240" s="276" t="s">
        <v>447</v>
      </c>
      <c r="E240" s="277"/>
      <c r="F240" s="111" t="s">
        <v>463</v>
      </c>
      <c r="G240" s="112">
        <v>13.5</v>
      </c>
      <c r="H240" s="144">
        <v>0</v>
      </c>
      <c r="I240" s="15"/>
    </row>
    <row r="241" spans="1:9" ht="19.5" customHeight="1">
      <c r="A241" s="110"/>
      <c r="B241" s="111"/>
      <c r="C241" s="111"/>
      <c r="D241" s="145" t="s">
        <v>524</v>
      </c>
      <c r="E241" s="278"/>
      <c r="F241" s="278"/>
      <c r="G241" s="146">
        <v>13.5</v>
      </c>
      <c r="H241" s="113"/>
      <c r="I241" s="15"/>
    </row>
    <row r="242" spans="1:9" ht="19.5" customHeight="1">
      <c r="A242" s="110" t="s">
        <v>219</v>
      </c>
      <c r="B242" s="111"/>
      <c r="C242" s="111" t="s">
        <v>335</v>
      </c>
      <c r="D242" s="276" t="s">
        <v>448</v>
      </c>
      <c r="E242" s="277"/>
      <c r="F242" s="111" t="s">
        <v>463</v>
      </c>
      <c r="G242" s="112">
        <v>11.5</v>
      </c>
      <c r="H242" s="144">
        <v>0</v>
      </c>
      <c r="I242" s="15"/>
    </row>
    <row r="243" spans="1:9" ht="19.5" customHeight="1">
      <c r="A243" s="110"/>
      <c r="B243" s="111"/>
      <c r="C243" s="111"/>
      <c r="D243" s="145" t="s">
        <v>569</v>
      </c>
      <c r="E243" s="278"/>
      <c r="F243" s="278"/>
      <c r="G243" s="146">
        <v>11.5</v>
      </c>
      <c r="H243" s="113"/>
      <c r="I243" s="15"/>
    </row>
    <row r="244" spans="1:9" ht="19.5" customHeight="1">
      <c r="A244" s="110" t="s">
        <v>91</v>
      </c>
      <c r="B244" s="111"/>
      <c r="C244" s="111" t="s">
        <v>336</v>
      </c>
      <c r="D244" s="276" t="s">
        <v>449</v>
      </c>
      <c r="E244" s="277"/>
      <c r="F244" s="111" t="s">
        <v>463</v>
      </c>
      <c r="G244" s="112">
        <v>270</v>
      </c>
      <c r="H244" s="144">
        <v>0</v>
      </c>
      <c r="I244" s="15"/>
    </row>
    <row r="245" spans="1:9" ht="19.5" customHeight="1">
      <c r="A245" s="110"/>
      <c r="B245" s="111"/>
      <c r="C245" s="111"/>
      <c r="D245" s="145" t="s">
        <v>570</v>
      </c>
      <c r="E245" s="278"/>
      <c r="F245" s="278"/>
      <c r="G245" s="146">
        <v>270</v>
      </c>
      <c r="H245" s="113"/>
      <c r="I245" s="15"/>
    </row>
    <row r="246" spans="1:9" ht="19.5" customHeight="1">
      <c r="A246" s="110" t="s">
        <v>92</v>
      </c>
      <c r="B246" s="111"/>
      <c r="C246" s="111" t="s">
        <v>337</v>
      </c>
      <c r="D246" s="276" t="s">
        <v>450</v>
      </c>
      <c r="E246" s="277"/>
      <c r="F246" s="111" t="s">
        <v>463</v>
      </c>
      <c r="G246" s="112">
        <v>13.5</v>
      </c>
      <c r="H246" s="144">
        <v>0</v>
      </c>
      <c r="I246" s="15"/>
    </row>
    <row r="247" spans="1:9" ht="19.5" customHeight="1">
      <c r="A247" s="110"/>
      <c r="B247" s="111"/>
      <c r="C247" s="111"/>
      <c r="D247" s="145" t="s">
        <v>524</v>
      </c>
      <c r="E247" s="278"/>
      <c r="F247" s="278"/>
      <c r="G247" s="146">
        <v>13.5</v>
      </c>
      <c r="H247" s="113"/>
      <c r="I247" s="15"/>
    </row>
    <row r="248" spans="1:9" ht="19.5" customHeight="1">
      <c r="A248" s="110" t="s">
        <v>220</v>
      </c>
      <c r="B248" s="111"/>
      <c r="C248" s="111" t="s">
        <v>338</v>
      </c>
      <c r="D248" s="276" t="s">
        <v>451</v>
      </c>
      <c r="E248" s="277"/>
      <c r="F248" s="111" t="s">
        <v>463</v>
      </c>
      <c r="G248" s="112">
        <v>1</v>
      </c>
      <c r="H248" s="144">
        <v>0</v>
      </c>
      <c r="I248" s="15"/>
    </row>
    <row r="249" spans="1:9" ht="19.5" customHeight="1">
      <c r="A249" s="110"/>
      <c r="B249" s="111"/>
      <c r="C249" s="111"/>
      <c r="D249" s="145" t="s">
        <v>131</v>
      </c>
      <c r="E249" s="278"/>
      <c r="F249" s="278"/>
      <c r="G249" s="146">
        <v>1</v>
      </c>
      <c r="H249" s="113"/>
      <c r="I249" s="15"/>
    </row>
    <row r="250" spans="1:9" ht="19.5" customHeight="1">
      <c r="A250" s="110" t="s">
        <v>221</v>
      </c>
      <c r="B250" s="111"/>
      <c r="C250" s="111" t="s">
        <v>339</v>
      </c>
      <c r="D250" s="276" t="s">
        <v>452</v>
      </c>
      <c r="E250" s="277"/>
      <c r="F250" s="111" t="s">
        <v>463</v>
      </c>
      <c r="G250" s="112">
        <v>1</v>
      </c>
      <c r="H250" s="144">
        <v>0</v>
      </c>
      <c r="I250" s="15"/>
    </row>
    <row r="251" spans="1:9" ht="19.5" customHeight="1">
      <c r="A251" s="110"/>
      <c r="B251" s="111"/>
      <c r="C251" s="111"/>
      <c r="D251" s="145" t="s">
        <v>131</v>
      </c>
      <c r="E251" s="278"/>
      <c r="F251" s="278"/>
      <c r="G251" s="146">
        <v>1</v>
      </c>
      <c r="H251" s="113"/>
      <c r="I251" s="15"/>
    </row>
    <row r="252" spans="1:9" ht="19.5" customHeight="1">
      <c r="A252" s="110" t="s">
        <v>222</v>
      </c>
      <c r="B252" s="111"/>
      <c r="C252" s="111" t="s">
        <v>340</v>
      </c>
      <c r="D252" s="276" t="s">
        <v>453</v>
      </c>
      <c r="E252" s="277"/>
      <c r="F252" s="111" t="s">
        <v>463</v>
      </c>
      <c r="G252" s="112">
        <v>13.5</v>
      </c>
      <c r="H252" s="144">
        <v>0</v>
      </c>
      <c r="I252" s="15"/>
    </row>
    <row r="253" spans="1:9" ht="19.5" customHeight="1">
      <c r="A253" s="110"/>
      <c r="B253" s="111"/>
      <c r="C253" s="111"/>
      <c r="D253" s="145" t="s">
        <v>524</v>
      </c>
      <c r="E253" s="278"/>
      <c r="F253" s="278"/>
      <c r="G253" s="146">
        <v>13.5</v>
      </c>
      <c r="H253" s="113"/>
      <c r="I253" s="15"/>
    </row>
    <row r="254" spans="1:9" ht="19.5" customHeight="1">
      <c r="A254" s="110" t="s">
        <v>223</v>
      </c>
      <c r="B254" s="111"/>
      <c r="C254" s="111" t="s">
        <v>341</v>
      </c>
      <c r="D254" s="276" t="s">
        <v>454</v>
      </c>
      <c r="E254" s="277"/>
      <c r="F254" s="111" t="s">
        <v>463</v>
      </c>
      <c r="G254" s="112">
        <v>13.5</v>
      </c>
      <c r="H254" s="144">
        <v>0</v>
      </c>
      <c r="I254" s="15"/>
    </row>
    <row r="255" spans="1:9" ht="19.5" customHeight="1">
      <c r="A255" s="124"/>
      <c r="B255" s="125"/>
      <c r="C255" s="125"/>
      <c r="D255" s="150" t="s">
        <v>524</v>
      </c>
      <c r="E255" s="283"/>
      <c r="F255" s="283"/>
      <c r="G255" s="151">
        <v>13.5</v>
      </c>
      <c r="H255" s="127"/>
      <c r="I255" s="15"/>
    </row>
    <row r="256" spans="1:8" ht="12">
      <c r="A256" s="3"/>
      <c r="B256" s="3"/>
      <c r="C256" s="3"/>
      <c r="D256" s="3"/>
      <c r="E256" s="3"/>
      <c r="F256" s="3"/>
      <c r="G256" s="3"/>
      <c r="H256" s="3"/>
    </row>
    <row r="257" ht="11.25" customHeight="1">
      <c r="A257" s="30" t="s">
        <v>18</v>
      </c>
    </row>
    <row r="258" spans="1:7" ht="12">
      <c r="A258" s="166"/>
      <c r="B258" s="158"/>
      <c r="C258" s="158"/>
      <c r="D258" s="158"/>
      <c r="E258" s="158"/>
      <c r="F258" s="158"/>
      <c r="G258" s="158"/>
    </row>
  </sheetData>
  <sheetProtection password="C168" sheet="1" objects="1" scenarios="1"/>
  <mergeCells count="264">
    <mergeCell ref="A258:G258"/>
    <mergeCell ref="D250:E250"/>
    <mergeCell ref="E251:F251"/>
    <mergeCell ref="D252:E252"/>
    <mergeCell ref="E253:F253"/>
    <mergeCell ref="D254:E254"/>
    <mergeCell ref="E255:F255"/>
    <mergeCell ref="D244:E244"/>
    <mergeCell ref="E245:F245"/>
    <mergeCell ref="D246:E246"/>
    <mergeCell ref="E247:F247"/>
    <mergeCell ref="D248:E248"/>
    <mergeCell ref="E249:F249"/>
    <mergeCell ref="D238:E238"/>
    <mergeCell ref="E239:F239"/>
    <mergeCell ref="D240:E240"/>
    <mergeCell ref="E241:F241"/>
    <mergeCell ref="D242:E242"/>
    <mergeCell ref="E243:F243"/>
    <mergeCell ref="E232:F232"/>
    <mergeCell ref="D233:E233"/>
    <mergeCell ref="D234:E234"/>
    <mergeCell ref="E235:F235"/>
    <mergeCell ref="D236:E236"/>
    <mergeCell ref="E237:F237"/>
    <mergeCell ref="E226:F226"/>
    <mergeCell ref="D227:E227"/>
    <mergeCell ref="E228:F228"/>
    <mergeCell ref="D229:E229"/>
    <mergeCell ref="E230:F230"/>
    <mergeCell ref="D231:E231"/>
    <mergeCell ref="D220:E220"/>
    <mergeCell ref="E221:F221"/>
    <mergeCell ref="D222:E222"/>
    <mergeCell ref="E223:F223"/>
    <mergeCell ref="D224:E224"/>
    <mergeCell ref="D225:E225"/>
    <mergeCell ref="D214:E214"/>
    <mergeCell ref="E215:F215"/>
    <mergeCell ref="D216:E216"/>
    <mergeCell ref="E217:F217"/>
    <mergeCell ref="D218:E218"/>
    <mergeCell ref="E219:F219"/>
    <mergeCell ref="D208:E208"/>
    <mergeCell ref="E209:F209"/>
    <mergeCell ref="D210:E210"/>
    <mergeCell ref="E211:F211"/>
    <mergeCell ref="D212:E212"/>
    <mergeCell ref="E213:F213"/>
    <mergeCell ref="D202:E202"/>
    <mergeCell ref="E203:F203"/>
    <mergeCell ref="D204:E204"/>
    <mergeCell ref="E205:F205"/>
    <mergeCell ref="D206:E206"/>
    <mergeCell ref="E207:F207"/>
    <mergeCell ref="D196:E196"/>
    <mergeCell ref="E197:F197"/>
    <mergeCell ref="D198:E198"/>
    <mergeCell ref="D199:E199"/>
    <mergeCell ref="E200:F200"/>
    <mergeCell ref="D201:E201"/>
    <mergeCell ref="D190:E190"/>
    <mergeCell ref="E191:F191"/>
    <mergeCell ref="D192:E192"/>
    <mergeCell ref="E193:F193"/>
    <mergeCell ref="D194:E194"/>
    <mergeCell ref="E195:F195"/>
    <mergeCell ref="E184:F184"/>
    <mergeCell ref="D185:E185"/>
    <mergeCell ref="D186:E186"/>
    <mergeCell ref="E187:F187"/>
    <mergeCell ref="E188:F188"/>
    <mergeCell ref="E189:F189"/>
    <mergeCell ref="D178:E178"/>
    <mergeCell ref="E179:F179"/>
    <mergeCell ref="D180:E180"/>
    <mergeCell ref="E181:F181"/>
    <mergeCell ref="E182:F182"/>
    <mergeCell ref="D183:E183"/>
    <mergeCell ref="D172:E172"/>
    <mergeCell ref="E173:F173"/>
    <mergeCell ref="E174:F174"/>
    <mergeCell ref="E175:F175"/>
    <mergeCell ref="D176:E176"/>
    <mergeCell ref="E177:F177"/>
    <mergeCell ref="E166:F166"/>
    <mergeCell ref="E167:F167"/>
    <mergeCell ref="E168:F168"/>
    <mergeCell ref="D169:E169"/>
    <mergeCell ref="E170:F170"/>
    <mergeCell ref="E171:F171"/>
    <mergeCell ref="D160:E160"/>
    <mergeCell ref="E161:F161"/>
    <mergeCell ref="D162:E162"/>
    <mergeCell ref="D163:E163"/>
    <mergeCell ref="E164:F164"/>
    <mergeCell ref="D165:E165"/>
    <mergeCell ref="D154:E154"/>
    <mergeCell ref="E155:F155"/>
    <mergeCell ref="D156:E156"/>
    <mergeCell ref="D157:E157"/>
    <mergeCell ref="E158:F158"/>
    <mergeCell ref="D159:E159"/>
    <mergeCell ref="E148:F148"/>
    <mergeCell ref="E149:F149"/>
    <mergeCell ref="D150:E150"/>
    <mergeCell ref="E151:F151"/>
    <mergeCell ref="E152:F152"/>
    <mergeCell ref="E153:F153"/>
    <mergeCell ref="E142:F142"/>
    <mergeCell ref="D143:E143"/>
    <mergeCell ref="D144:E144"/>
    <mergeCell ref="E145:F145"/>
    <mergeCell ref="D146:E146"/>
    <mergeCell ref="E147:F147"/>
    <mergeCell ref="D136:E136"/>
    <mergeCell ref="D137:E137"/>
    <mergeCell ref="E138:F138"/>
    <mergeCell ref="D139:E139"/>
    <mergeCell ref="E140:F140"/>
    <mergeCell ref="D141:E141"/>
    <mergeCell ref="E130:F130"/>
    <mergeCell ref="D131:E131"/>
    <mergeCell ref="E132:F132"/>
    <mergeCell ref="D133:E133"/>
    <mergeCell ref="E134:F134"/>
    <mergeCell ref="E135:F135"/>
    <mergeCell ref="D124:E124"/>
    <mergeCell ref="E125:F125"/>
    <mergeCell ref="D126:E126"/>
    <mergeCell ref="E127:F127"/>
    <mergeCell ref="E128:F128"/>
    <mergeCell ref="D129:E129"/>
    <mergeCell ref="E118:F118"/>
    <mergeCell ref="D119:E119"/>
    <mergeCell ref="E120:F120"/>
    <mergeCell ref="D121:E121"/>
    <mergeCell ref="E122:F122"/>
    <mergeCell ref="D123:E123"/>
    <mergeCell ref="E112:F112"/>
    <mergeCell ref="D113:E113"/>
    <mergeCell ref="E114:F114"/>
    <mergeCell ref="D115:E115"/>
    <mergeCell ref="E116:F116"/>
    <mergeCell ref="D117:E117"/>
    <mergeCell ref="D106:E106"/>
    <mergeCell ref="D107:E107"/>
    <mergeCell ref="E108:F108"/>
    <mergeCell ref="D109:E109"/>
    <mergeCell ref="E110:F110"/>
    <mergeCell ref="D111:E111"/>
    <mergeCell ref="D100:E100"/>
    <mergeCell ref="E101:F101"/>
    <mergeCell ref="D102:E102"/>
    <mergeCell ref="E103:F103"/>
    <mergeCell ref="D104:E104"/>
    <mergeCell ref="E105:F105"/>
    <mergeCell ref="D94:E94"/>
    <mergeCell ref="E95:F95"/>
    <mergeCell ref="D96:E96"/>
    <mergeCell ref="E97:F97"/>
    <mergeCell ref="D98:E98"/>
    <mergeCell ref="E99:F99"/>
    <mergeCell ref="D88:E88"/>
    <mergeCell ref="E89:F89"/>
    <mergeCell ref="E90:F90"/>
    <mergeCell ref="E91:F91"/>
    <mergeCell ref="D92:E92"/>
    <mergeCell ref="E93:F93"/>
    <mergeCell ref="D82:E82"/>
    <mergeCell ref="D83:E83"/>
    <mergeCell ref="E84:F84"/>
    <mergeCell ref="D85:E85"/>
    <mergeCell ref="D86:E86"/>
    <mergeCell ref="E87:F87"/>
    <mergeCell ref="E76:F76"/>
    <mergeCell ref="D77:E77"/>
    <mergeCell ref="E78:F78"/>
    <mergeCell ref="D79:E79"/>
    <mergeCell ref="E80:F80"/>
    <mergeCell ref="D81:E81"/>
    <mergeCell ref="D70:E70"/>
    <mergeCell ref="D71:E71"/>
    <mergeCell ref="E72:F72"/>
    <mergeCell ref="D73:E73"/>
    <mergeCell ref="E74:F74"/>
    <mergeCell ref="D75:E75"/>
    <mergeCell ref="D64:E64"/>
    <mergeCell ref="E65:F65"/>
    <mergeCell ref="D66:E66"/>
    <mergeCell ref="E67:F67"/>
    <mergeCell ref="D68:E68"/>
    <mergeCell ref="E69:F69"/>
    <mergeCell ref="E58:F58"/>
    <mergeCell ref="D59:E59"/>
    <mergeCell ref="E60:F60"/>
    <mergeCell ref="D61:E61"/>
    <mergeCell ref="E62:F62"/>
    <mergeCell ref="E63:F63"/>
    <mergeCell ref="E52:F52"/>
    <mergeCell ref="D53:E53"/>
    <mergeCell ref="E54:F54"/>
    <mergeCell ref="E55:F55"/>
    <mergeCell ref="D56:E56"/>
    <mergeCell ref="E57:F57"/>
    <mergeCell ref="E46:F46"/>
    <mergeCell ref="D47:E47"/>
    <mergeCell ref="D48:E48"/>
    <mergeCell ref="E49:F49"/>
    <mergeCell ref="D50:E50"/>
    <mergeCell ref="E51:F51"/>
    <mergeCell ref="E40:F40"/>
    <mergeCell ref="D41:E41"/>
    <mergeCell ref="E42:F42"/>
    <mergeCell ref="D43:E43"/>
    <mergeCell ref="E44:F44"/>
    <mergeCell ref="D45:E45"/>
    <mergeCell ref="E34:F34"/>
    <mergeCell ref="D35:E35"/>
    <mergeCell ref="D36:E36"/>
    <mergeCell ref="E37:F37"/>
    <mergeCell ref="D38:E38"/>
    <mergeCell ref="D39:E39"/>
    <mergeCell ref="E28:F28"/>
    <mergeCell ref="D29:E29"/>
    <mergeCell ref="D30:E30"/>
    <mergeCell ref="E31:F31"/>
    <mergeCell ref="D32:E32"/>
    <mergeCell ref="D33:E33"/>
    <mergeCell ref="E22:F22"/>
    <mergeCell ref="D23:E23"/>
    <mergeCell ref="E24:F24"/>
    <mergeCell ref="D25:E25"/>
    <mergeCell ref="D26:E26"/>
    <mergeCell ref="E27:F27"/>
    <mergeCell ref="D16:E16"/>
    <mergeCell ref="D17:E17"/>
    <mergeCell ref="E18:F18"/>
    <mergeCell ref="E19:F19"/>
    <mergeCell ref="E20:F20"/>
    <mergeCell ref="D21:E21"/>
    <mergeCell ref="D10:E10"/>
    <mergeCell ref="D11:E11"/>
    <mergeCell ref="D12:E12"/>
    <mergeCell ref="E13:F13"/>
    <mergeCell ref="D14:E14"/>
    <mergeCell ref="E15:F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Milan</cp:lastModifiedBy>
  <cp:lastPrinted>2022-06-30T10:10:53Z</cp:lastPrinted>
  <dcterms:created xsi:type="dcterms:W3CDTF">2022-06-29T13:47:02Z</dcterms:created>
  <dcterms:modified xsi:type="dcterms:W3CDTF">2022-07-12T13:46:56Z</dcterms:modified>
  <cp:category/>
  <cp:version/>
  <cp:contentType/>
  <cp:contentStatus/>
</cp:coreProperties>
</file>